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4.ZR " sheetId="1" r:id="rId1"/>
  </sheets>
  <definedNames>
    <definedName name="_xlnm.Print_Titles" localSheetId="0">'4.ZR '!$7:$8</definedName>
  </definedNames>
  <calcPr fullCalcOnLoad="1"/>
</workbook>
</file>

<file path=xl/sharedStrings.xml><?xml version="1.0" encoding="utf-8"?>
<sst xmlns="http://schemas.openxmlformats.org/spreadsheetml/2006/main" count="405" uniqueCount="243">
  <si>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</si>
  <si>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</si>
  <si>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</si>
  <si>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</si>
  <si>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</si>
  <si>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</si>
  <si>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</si>
  <si>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</si>
  <si>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</si>
  <si>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</si>
  <si>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</si>
  <si>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</si>
  <si>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</si>
  <si>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</si>
  <si>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</si>
  <si>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</si>
  <si>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</si>
  <si>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</si>
  <si>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</si>
  <si>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</si>
  <si>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</si>
  <si>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</si>
  <si>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</si>
  <si>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</si>
  <si>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</si>
  <si>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</si>
  <si>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</si>
  <si>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</si>
  <si>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</si>
  <si>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</si>
  <si>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</si>
  <si>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</si>
  <si>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</si>
  <si>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</si>
  <si>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</si>
  <si>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</si>
  <si>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</si>
  <si>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</si>
  <si>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</si>
  <si>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</si>
  <si>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</si>
  <si>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</si>
  <si>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</si>
  <si>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</si>
  <si>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</si>
  <si>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</si>
  <si>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</si>
  <si>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</si>
  <si>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</si>
  <si>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</si>
  <si>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</si>
  <si>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</si>
  <si>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</si>
  <si>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</si>
  <si>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</si>
  <si>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</si>
  <si>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</si>
  <si>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</si>
  <si>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</si>
  <si>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</si>
  <si>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</si>
  <si>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</si>
  <si>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</si>
  <si>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</si>
  <si>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</si>
  <si>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</si>
  <si>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</si>
  <si>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</si>
  <si>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</si>
  <si>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</si>
  <si>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</si>
  <si>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</si>
  <si>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</si>
  <si>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</si>
  <si>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</si>
  <si>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</si>
  <si>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</si>
  <si>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</si>
  <si>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</si>
  <si>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</si>
  <si>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</si>
  <si>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          z toho: investiční půjčené prostředky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</si>
  <si>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</si>
  <si>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</si>
  <si>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</si>
  <si>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</si>
  <si>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</si>
  <si>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</si>
  <si>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</si>
  <si>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</si>
  <si>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</si>
  <si>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</si>
  <si>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</si>
  <si>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</si>
  <si>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</si>
  <si>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</si>
  <si>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</si>
  <si>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</si>
  <si>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</si>
  <si>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</si>
  <si>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</si>
  <si>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</si>
  <si>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</si>
  <si>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</si>
  <si>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</si>
  <si>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GS 1.1 podpora podnikání ve vybraných obl. - SR</t>
  </si>
  <si>
    <t>EPC - bud.regionál.partnerství - SR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</si>
  <si>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</si>
  <si>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</si>
  <si>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</si>
  <si>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</si>
  <si>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</si>
  <si>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</si>
  <si>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</si>
  <si>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</si>
  <si>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zařízení pro děti vyžadující okamžitou pomoc - SR</t>
  </si>
  <si>
    <t xml:space="preserve">  z SFA</t>
  </si>
  <si>
    <t>GRIP IT - SR</t>
  </si>
  <si>
    <t>GS 3.1 - SR</t>
  </si>
  <si>
    <t>splátka dodavatelského úvěru</t>
  </si>
  <si>
    <t>Schválený</t>
  </si>
  <si>
    <t>rozpočet</t>
  </si>
  <si>
    <t>1. změna</t>
  </si>
  <si>
    <t>po 1. změně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</si>
  <si>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</si>
  <si>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</si>
  <si>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</si>
  <si>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</si>
  <si>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</si>
  <si>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</si>
  <si>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</si>
  <si>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</si>
  <si>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</si>
  <si>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</si>
  <si>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</si>
  <si>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</si>
  <si>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>rezerva (35 mil.Kč blokováno do 30.11.2007 pro kap.28)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</si>
  <si>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</si>
  <si>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</si>
  <si>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</si>
  <si>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</si>
  <si>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</si>
  <si>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</si>
  <si>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</si>
  <si>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</si>
  <si>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</si>
  <si>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</si>
  <si>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</si>
  <si>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</si>
  <si>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</si>
  <si>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</si>
  <si>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</si>
  <si>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</si>
  <si>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</si>
  <si>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</si>
  <si>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</si>
  <si>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</si>
  <si>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</si>
  <si>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 xml:space="preserve">                  - neinvestiční příspěvky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</si>
  <si>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</si>
  <si>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</si>
  <si>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</si>
  <si>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</si>
  <si>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</si>
  <si>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</si>
  <si>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splátky půjčených prostředků</t>
  </si>
  <si>
    <t>nedaňové příjmy odv.život.prostř. a zemědělství</t>
  </si>
  <si>
    <t>AC  - vybavení nábytkem,služby a provozní vlivy</t>
  </si>
  <si>
    <t>zabránění vzniku, rozvoje a šíření TBC - SR</t>
  </si>
  <si>
    <t>Technická pomoc - SR</t>
  </si>
  <si>
    <t>OP RLZ 2.1 - SR</t>
  </si>
  <si>
    <t>OP RLZ 2.1 - z dotace SR z r.2006</t>
  </si>
  <si>
    <t>neinvestiční půjčené prostředky</t>
  </si>
  <si>
    <t>investiční transfery a.s.</t>
  </si>
  <si>
    <t>OP RLZ 3.3 Rozv.kapacit dalšího profes.vzd.-SR r.2006</t>
  </si>
  <si>
    <t>inv.půjčené prostř.RR regionu soudržnosti SV</t>
  </si>
  <si>
    <t>neinvestiční půjčené prostředky a. s.</t>
  </si>
  <si>
    <t>životní prostř.a zem. - inv.transfery a.s.</t>
  </si>
  <si>
    <t>NA ROK 2007</t>
  </si>
  <si>
    <t>kap. 09 - volnočasové aktivity</t>
  </si>
  <si>
    <t>neinvestiční půjčené prostředky a.s. SÚS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</si>
  <si>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</si>
  <si>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</si>
  <si>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</si>
  <si>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</si>
  <si>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</si>
  <si>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</si>
  <si>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</si>
  <si>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</si>
  <si>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</si>
  <si>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</si>
  <si>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</si>
  <si>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</si>
  <si>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</si>
  <si>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splátky půjček (SFDI)</t>
  </si>
  <si>
    <t>dotace ze SR poskytnutá prostř.čerp.účtů</t>
  </si>
  <si>
    <t>dot.ze SR poskytnuté prostř.čerpacích účtů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</si>
  <si>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</si>
  <si>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</si>
  <si>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</si>
  <si>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</si>
  <si>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</si>
  <si>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</si>
  <si>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</si>
  <si>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</si>
  <si>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</si>
  <si>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</si>
  <si>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</si>
  <si>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</si>
  <si>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 xml:space="preserve">            kapitálové výd.odv.-vybavení RC NP</t>
  </si>
  <si>
    <t>vklad pro založení a. s.</t>
  </si>
  <si>
    <t>investiční půjčené prostředky a. s.</t>
  </si>
  <si>
    <t xml:space="preserve">     - blokace rezervy  zrušena 2. změnou rozpočtu 21.6.</t>
  </si>
  <si>
    <t>výdaje z finančního vypořádání</t>
  </si>
  <si>
    <t>investiční transfery obcím - úvěr</t>
  </si>
  <si>
    <t>3. změna</t>
  </si>
  <si>
    <t>po 3. změně</t>
  </si>
  <si>
    <t xml:space="preserve">  z MZ</t>
  </si>
  <si>
    <t xml:space="preserve">  z Úřadu vlády</t>
  </si>
  <si>
    <t xml:space="preserve">  odvětví kultury</t>
  </si>
  <si>
    <t>nedaňové příjmy odvětví soc.věcí</t>
  </si>
  <si>
    <t>volby do zastupitelstev obcí - SR</t>
  </si>
  <si>
    <t>výd.na krajs.koordinátora romských poradců - SR</t>
  </si>
  <si>
    <t>náhr.škod způs.zvl.chráněnými živočichy - SR</t>
  </si>
  <si>
    <t>likvidace nepoužitelných léčiv - SR</t>
  </si>
  <si>
    <t>program protidrogové politiky - SR</t>
  </si>
  <si>
    <t>nedaňové příjmy odvětví činnost KÚ</t>
  </si>
  <si>
    <t>nedaňové příjmy odvětví dopravy</t>
  </si>
  <si>
    <t>neinvestiční půjčené prostředky PO</t>
  </si>
  <si>
    <t xml:space="preserve">investiční půjčené prostředky obcím   </t>
  </si>
  <si>
    <t>4. změna</t>
  </si>
  <si>
    <t>po 4. změně</t>
  </si>
  <si>
    <t>vklad do a. s.</t>
  </si>
  <si>
    <t xml:space="preserve">  z MZV</t>
  </si>
  <si>
    <t>neinvestiční transfery krajům</t>
  </si>
  <si>
    <t>investiční transfery krajům</t>
  </si>
  <si>
    <t xml:space="preserve">  odvětví správy majetku kraje</t>
  </si>
  <si>
    <t>AKKORD - SR</t>
  </si>
  <si>
    <t>Transformační spolupráce MZV - SR</t>
  </si>
  <si>
    <t>Evropská jazyková cena LABEL - SR</t>
  </si>
  <si>
    <t>podpora EVVO ve školách - SR</t>
  </si>
  <si>
    <t>kompenzační pomůcky - SR</t>
  </si>
  <si>
    <t xml:space="preserve">             neinvestiční transfery a.s.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</si>
</sst>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0" fillId="0" borderId="5" xfId="0" applyFont="1" applyBorder="1" applyAlignment="1">
      <alignment/>
    </xf>
    <xf numFmtId="3" fontId="1" fillId="0" borderId="6" xfId="0" applyFont="1" applyBorder="1" applyAlignment="1">
      <alignment vertical="center"/>
    </xf>
    <xf numFmtId="3" fontId="7" fillId="0" borderId="6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3" fontId="1" fillId="0" borderId="4" xfId="0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Border="1" applyAlignment="1">
      <alignment/>
    </xf>
    <xf numFmtId="171" fontId="2" fillId="0" borderId="4" xfId="18" applyNumberFormat="1" applyFont="1" applyBorder="1" applyAlignment="1">
      <alignment vertical="center"/>
    </xf>
    <xf numFmtId="171" fontId="4" fillId="0" borderId="2" xfId="18" applyNumberFormat="1" applyFont="1" applyBorder="1" applyAlignment="1">
      <alignment/>
    </xf>
    <xf numFmtId="171" fontId="4" fillId="0" borderId="2" xfId="18" applyNumberFormat="1" applyFont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3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10" xfId="18" applyNumberFormat="1" applyFont="1" applyBorder="1" applyAlignment="1">
      <alignment/>
    </xf>
    <xf numFmtId="171" fontId="7" fillId="0" borderId="11" xfId="18" applyNumberFormat="1" applyFont="1" applyBorder="1" applyAlignment="1">
      <alignment vertical="center"/>
    </xf>
    <xf numFmtId="171" fontId="7" fillId="0" borderId="12" xfId="18" applyNumberFormat="1" applyFont="1" applyBorder="1" applyAlignment="1">
      <alignment vertical="center"/>
    </xf>
    <xf numFmtId="171" fontId="1" fillId="0" borderId="11" xfId="18" applyNumberFormat="1" applyFont="1" applyBorder="1" applyAlignment="1">
      <alignment vertical="center"/>
    </xf>
    <xf numFmtId="171" fontId="1" fillId="0" borderId="12" xfId="18" applyNumberFormat="1" applyFont="1" applyBorder="1" applyAlignment="1">
      <alignment vertical="center"/>
    </xf>
    <xf numFmtId="171" fontId="2" fillId="0" borderId="11" xfId="18" applyNumberFormat="1" applyFont="1" applyBorder="1" applyAlignment="1">
      <alignment vertical="center"/>
    </xf>
    <xf numFmtId="171" fontId="2" fillId="0" borderId="12" xfId="18" applyNumberFormat="1" applyFont="1" applyBorder="1" applyAlignment="1">
      <alignment vertical="center"/>
    </xf>
    <xf numFmtId="171" fontId="7" fillId="0" borderId="13" xfId="18" applyNumberFormat="1" applyFont="1" applyBorder="1" applyAlignment="1">
      <alignment vertical="center"/>
    </xf>
    <xf numFmtId="171" fontId="7" fillId="0" borderId="14" xfId="18" applyNumberFormat="1" applyFont="1" applyBorder="1" applyAlignment="1">
      <alignment vertical="center"/>
    </xf>
    <xf numFmtId="171" fontId="7" fillId="0" borderId="2" xfId="18" applyNumberFormat="1" applyFont="1" applyBorder="1" applyAlignment="1">
      <alignment vertical="center"/>
    </xf>
    <xf numFmtId="171" fontId="7" fillId="0" borderId="15" xfId="18" applyNumberFormat="1" applyFont="1" applyBorder="1" applyAlignment="1">
      <alignment vertical="center"/>
    </xf>
    <xf numFmtId="171" fontId="2" fillId="0" borderId="13" xfId="18" applyNumberFormat="1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171" fontId="2" fillId="0" borderId="2" xfId="18" applyNumberFormat="1" applyFont="1" applyBorder="1" applyAlignment="1">
      <alignment vertical="center"/>
    </xf>
    <xf numFmtId="171" fontId="8" fillId="0" borderId="16" xfId="18" applyNumberFormat="1" applyFont="1" applyBorder="1" applyAlignment="1">
      <alignment vertical="center"/>
    </xf>
    <xf numFmtId="171" fontId="8" fillId="0" borderId="2" xfId="18" applyNumberFormat="1" applyFont="1" applyBorder="1" applyAlignment="1">
      <alignment vertical="center"/>
    </xf>
    <xf numFmtId="171" fontId="8" fillId="0" borderId="4" xfId="18" applyNumberFormat="1" applyFont="1" applyBorder="1" applyAlignment="1">
      <alignment vertical="center"/>
    </xf>
    <xf numFmtId="171" fontId="8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71" fontId="0" fillId="0" borderId="18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0" fillId="0" borderId="2" xfId="18" applyNumberFormat="1" applyFont="1" applyFill="1" applyBorder="1" applyAlignment="1">
      <alignment/>
    </xf>
    <xf numFmtId="171" fontId="0" fillId="0" borderId="10" xfId="18" applyNumberFormat="1" applyBorder="1" applyAlignment="1">
      <alignment/>
    </xf>
    <xf numFmtId="171" fontId="7" fillId="0" borderId="9" xfId="18" applyNumberFormat="1" applyFont="1" applyBorder="1" applyAlignment="1">
      <alignment vertical="center"/>
    </xf>
    <xf numFmtId="171" fontId="7" fillId="0" borderId="7" xfId="18" applyNumberFormat="1" applyFont="1" applyBorder="1" applyAlignment="1">
      <alignment vertical="center"/>
    </xf>
    <xf numFmtId="171" fontId="7" fillId="0" borderId="8" xfId="18" applyNumberFormat="1" applyFont="1" applyBorder="1" applyAlignment="1">
      <alignment vertical="center"/>
    </xf>
    <xf numFmtId="171" fontId="7" fillId="0" borderId="4" xfId="18" applyNumberFormat="1" applyFont="1" applyBorder="1" applyAlignment="1">
      <alignment vertical="center"/>
    </xf>
    <xf numFmtId="171" fontId="7" fillId="0" borderId="19" xfId="18" applyNumberFormat="1" applyFont="1" applyBorder="1" applyAlignment="1">
      <alignment vertical="center"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7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1"/>
  <sheetViews>
    <sheetView tabSelected="1" workbookViewId="0" topLeftCell="A1">
      <pane xSplit="2" ySplit="19" topLeftCell="C195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L192" sqref="L192"/>
    </sheetView>
  </sheetViews>
  <sheetFormatPr defaultColWidth="9.00390625" defaultRowHeight="12.75"/>
  <cols>
    <col min="1" max="1" width="43.75390625" style="0" customWidth="1"/>
    <col min="2" max="2" width="14.25390625" style="17" customWidth="1"/>
    <col min="3" max="3" width="14.25390625" style="17" hidden="1" customWidth="1"/>
    <col min="4" max="4" width="13.75390625" style="17" hidden="1" customWidth="1"/>
    <col min="5" max="5" width="14.25390625" style="17" hidden="1" customWidth="1"/>
    <col min="6" max="6" width="13.75390625" style="0" hidden="1" customWidth="1"/>
    <col min="7" max="7" width="13.625" style="0" hidden="1" customWidth="1"/>
    <col min="8" max="10" width="13.75390625" style="0" hidden="1" customWidth="1"/>
    <col min="11" max="12" width="13.75390625" style="0" customWidth="1"/>
    <col min="13" max="13" width="13.75390625" style="0" hidden="1" customWidth="1"/>
    <col min="14" max="14" width="13.75390625" style="0" customWidth="1"/>
  </cols>
  <sheetData>
    <row r="1" ht="12.75">
      <c r="E1" s="35"/>
    </row>
    <row r="2" spans="1:14" ht="19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9.5" customHeight="1">
      <c r="A3" s="80" t="s">
        <v>178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9.5" customHeight="1">
      <c r="A4" s="81" t="s">
        <v>185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9.5" customHeight="1">
      <c r="A5" s="82" t="s">
        <v>186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5" ht="15" customHeight="1">
      <c r="A6" s="9"/>
      <c r="B6" s="16"/>
      <c r="C6" s="16"/>
      <c r="D6" s="16"/>
      <c r="E6" s="16"/>
    </row>
    <row r="7" spans="1:14" ht="12.75" customHeight="1">
      <c r="A7" s="77" t="s">
        <v>3</v>
      </c>
      <c r="B7" s="18" t="s">
        <v>120</v>
      </c>
      <c r="C7" s="18" t="s">
        <v>122</v>
      </c>
      <c r="D7" s="18" t="s">
        <v>95</v>
      </c>
      <c r="E7" s="18" t="s">
        <v>57</v>
      </c>
      <c r="F7" s="18" t="s">
        <v>183</v>
      </c>
      <c r="G7" s="18" t="s">
        <v>95</v>
      </c>
      <c r="H7" s="18" t="s">
        <v>57</v>
      </c>
      <c r="I7" s="18" t="s">
        <v>215</v>
      </c>
      <c r="J7" s="18" t="s">
        <v>95</v>
      </c>
      <c r="K7" s="18" t="s">
        <v>57</v>
      </c>
      <c r="L7" s="18" t="s">
        <v>230</v>
      </c>
      <c r="M7" s="18" t="s">
        <v>95</v>
      </c>
      <c r="N7" s="18" t="s">
        <v>57</v>
      </c>
    </row>
    <row r="8" spans="1:14" ht="12.75" customHeight="1">
      <c r="A8" s="78"/>
      <c r="B8" s="19" t="s">
        <v>121</v>
      </c>
      <c r="C8" s="19" t="s">
        <v>58</v>
      </c>
      <c r="D8" s="19" t="s">
        <v>96</v>
      </c>
      <c r="E8" s="19" t="s">
        <v>123</v>
      </c>
      <c r="F8" s="19" t="s">
        <v>58</v>
      </c>
      <c r="G8" s="19" t="s">
        <v>96</v>
      </c>
      <c r="H8" s="19" t="s">
        <v>184</v>
      </c>
      <c r="I8" s="19" t="s">
        <v>58</v>
      </c>
      <c r="J8" s="19" t="s">
        <v>96</v>
      </c>
      <c r="K8" s="19" t="s">
        <v>216</v>
      </c>
      <c r="L8" s="19" t="s">
        <v>58</v>
      </c>
      <c r="M8" s="19" t="s">
        <v>96</v>
      </c>
      <c r="N8" s="19" t="s">
        <v>231</v>
      </c>
    </row>
    <row r="9" spans="1:14" ht="15" customHeight="1">
      <c r="A9" s="1" t="s">
        <v>4</v>
      </c>
      <c r="B9" s="18"/>
      <c r="C9" s="20"/>
      <c r="D9" s="20"/>
      <c r="E9" s="18"/>
      <c r="F9" s="20"/>
      <c r="G9" s="20"/>
      <c r="H9" s="18"/>
      <c r="I9" s="20"/>
      <c r="J9" s="20"/>
      <c r="K9" s="18"/>
      <c r="L9" s="20"/>
      <c r="M9" s="20"/>
      <c r="N9" s="18"/>
    </row>
    <row r="10" spans="1:14" ht="12.75">
      <c r="A10" s="2" t="s">
        <v>0</v>
      </c>
      <c r="B10" s="39">
        <v>2650000</v>
      </c>
      <c r="C10" s="39"/>
      <c r="D10" s="39"/>
      <c r="E10" s="39">
        <f>B10+C10+D10</f>
        <v>2650000</v>
      </c>
      <c r="F10" s="39">
        <v>16190</v>
      </c>
      <c r="G10" s="39"/>
      <c r="H10" s="39">
        <f>E10+F10+G10</f>
        <v>2666190</v>
      </c>
      <c r="I10" s="39"/>
      <c r="J10" s="39">
        <v>59500</v>
      </c>
      <c r="K10" s="39">
        <f>H10+I10+J10</f>
        <v>2725690</v>
      </c>
      <c r="L10" s="39">
        <f>11000+3000</f>
        <v>14000</v>
      </c>
      <c r="M10" s="39"/>
      <c r="N10" s="39">
        <f>K10+L10+M10</f>
        <v>2739690</v>
      </c>
    </row>
    <row r="11" spans="1:14" ht="12.75">
      <c r="A11" s="10" t="s">
        <v>192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2.75">
      <c r="A12" s="8" t="s">
        <v>193</v>
      </c>
      <c r="B12" s="39"/>
      <c r="C12" s="39"/>
      <c r="D12" s="39"/>
      <c r="E12" s="39"/>
      <c r="F12" s="40">
        <v>16190</v>
      </c>
      <c r="G12" s="39"/>
      <c r="H12" s="40">
        <f>E12+F12+G12</f>
        <v>16190</v>
      </c>
      <c r="I12" s="40"/>
      <c r="J12" s="39"/>
      <c r="K12" s="40">
        <f>H12+I12+J12</f>
        <v>16190</v>
      </c>
      <c r="L12" s="40"/>
      <c r="M12" s="39"/>
      <c r="N12" s="40">
        <f>K12+L12+M12</f>
        <v>16190</v>
      </c>
    </row>
    <row r="13" spans="1:14" ht="12.75">
      <c r="A13" s="2" t="s">
        <v>50</v>
      </c>
      <c r="B13" s="39">
        <f>SUM(B15:B24)</f>
        <v>182753</v>
      </c>
      <c r="C13" s="39">
        <f>SUM(C15:C24)</f>
        <v>58889</v>
      </c>
      <c r="D13" s="39">
        <f>SUM(D15:D24)</f>
        <v>2775.4</v>
      </c>
      <c r="E13" s="39">
        <f>B13+C13+D13</f>
        <v>244417.4</v>
      </c>
      <c r="F13" s="39">
        <f>SUM(F15:F24)</f>
        <v>23658.8</v>
      </c>
      <c r="G13" s="39">
        <f>SUM(G15:G24)</f>
        <v>11920</v>
      </c>
      <c r="H13" s="39">
        <f>E13+F13+G13</f>
        <v>279996.2</v>
      </c>
      <c r="I13" s="39">
        <f>SUM(I15:I24)</f>
        <v>-18360</v>
      </c>
      <c r="J13" s="39">
        <f>SUM(J15:J24)</f>
        <v>-38097.899999999994</v>
      </c>
      <c r="K13" s="39">
        <f>H13+I13+J13</f>
        <v>223538.30000000002</v>
      </c>
      <c r="L13" s="39">
        <f>SUM(L15:L24)</f>
        <v>27094.4</v>
      </c>
      <c r="M13" s="39">
        <f>SUM(M15:M24)</f>
        <v>0</v>
      </c>
      <c r="N13" s="39">
        <f>K13+L13+M13</f>
        <v>250632.7</v>
      </c>
    </row>
    <row r="14" spans="1:14" ht="9.75" customHeight="1">
      <c r="A14" s="10" t="s">
        <v>65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2.75">
      <c r="A15" s="8" t="s">
        <v>69</v>
      </c>
      <c r="B15" s="40">
        <v>9000</v>
      </c>
      <c r="C15" s="40"/>
      <c r="D15" s="40"/>
      <c r="E15" s="40">
        <f>B15+C15</f>
        <v>9000</v>
      </c>
      <c r="F15" s="40"/>
      <c r="G15" s="40"/>
      <c r="H15" s="40">
        <f>E15+F15+G15</f>
        <v>9000</v>
      </c>
      <c r="I15" s="40"/>
      <c r="J15" s="40"/>
      <c r="K15" s="40">
        <f aca="true" t="shared" si="0" ref="K15:K30">H15+I15+J15</f>
        <v>9000</v>
      </c>
      <c r="L15" s="40">
        <v>8.7</v>
      </c>
      <c r="M15" s="40"/>
      <c r="N15" s="40">
        <f aca="true" t="shared" si="1" ref="N15:N30">K15+L15+M15</f>
        <v>9008.7</v>
      </c>
    </row>
    <row r="16" spans="1:14" ht="12.75">
      <c r="A16" s="8" t="s">
        <v>165</v>
      </c>
      <c r="B16" s="40"/>
      <c r="C16" s="40">
        <v>50000</v>
      </c>
      <c r="D16" s="40"/>
      <c r="E16" s="40">
        <f>B16+C16</f>
        <v>50000</v>
      </c>
      <c r="F16" s="40"/>
      <c r="G16" s="40"/>
      <c r="H16" s="40">
        <f>E16+F16+G16</f>
        <v>50000</v>
      </c>
      <c r="I16" s="40"/>
      <c r="J16" s="40">
        <v>-50000</v>
      </c>
      <c r="K16" s="40">
        <f t="shared" si="0"/>
        <v>0</v>
      </c>
      <c r="L16" s="40"/>
      <c r="M16" s="40"/>
      <c r="N16" s="40">
        <f t="shared" si="1"/>
        <v>0</v>
      </c>
    </row>
    <row r="17" spans="1:14" ht="12.75">
      <c r="A17" s="8" t="s">
        <v>70</v>
      </c>
      <c r="B17" s="40">
        <v>4187</v>
      </c>
      <c r="C17" s="40"/>
      <c r="D17" s="40"/>
      <c r="E17" s="40">
        <f>B17+C17</f>
        <v>4187</v>
      </c>
      <c r="F17" s="40">
        <v>1000</v>
      </c>
      <c r="G17" s="40"/>
      <c r="H17" s="40">
        <f>E17+F17+G17</f>
        <v>5187</v>
      </c>
      <c r="I17" s="40"/>
      <c r="J17" s="40"/>
      <c r="K17" s="40">
        <f t="shared" si="0"/>
        <v>5187</v>
      </c>
      <c r="L17" s="40"/>
      <c r="M17" s="40"/>
      <c r="N17" s="40">
        <f t="shared" si="1"/>
        <v>5187</v>
      </c>
    </row>
    <row r="18" spans="1:14" ht="12.75">
      <c r="A18" s="8" t="s">
        <v>60</v>
      </c>
      <c r="B18" s="40">
        <v>40000</v>
      </c>
      <c r="C18" s="40"/>
      <c r="D18" s="40"/>
      <c r="E18" s="40">
        <f>B18+C18</f>
        <v>40000</v>
      </c>
      <c r="F18" s="40"/>
      <c r="G18" s="40"/>
      <c r="H18" s="40">
        <f>E18+F18+G18</f>
        <v>40000</v>
      </c>
      <c r="I18" s="40"/>
      <c r="J18" s="40"/>
      <c r="K18" s="40">
        <f t="shared" si="0"/>
        <v>40000</v>
      </c>
      <c r="L18" s="40"/>
      <c r="M18" s="40"/>
      <c r="N18" s="40">
        <f t="shared" si="1"/>
        <v>40000</v>
      </c>
    </row>
    <row r="19" spans="1:14" ht="12.75">
      <c r="A19" s="8" t="s">
        <v>166</v>
      </c>
      <c r="B19" s="40"/>
      <c r="C19" s="40">
        <v>9253.2</v>
      </c>
      <c r="D19" s="40"/>
      <c r="E19" s="40">
        <f>B19+C19</f>
        <v>9253.2</v>
      </c>
      <c r="F19" s="40"/>
      <c r="G19" s="40"/>
      <c r="H19" s="40">
        <f>E19+F19+G19</f>
        <v>9253.2</v>
      </c>
      <c r="I19" s="40"/>
      <c r="J19" s="40"/>
      <c r="K19" s="40">
        <f t="shared" si="0"/>
        <v>9253.2</v>
      </c>
      <c r="L19" s="40"/>
      <c r="M19" s="40"/>
      <c r="N19" s="40">
        <f t="shared" si="1"/>
        <v>9253.2</v>
      </c>
    </row>
    <row r="20" spans="1:14" ht="12.75">
      <c r="A20" s="8" t="s">
        <v>227</v>
      </c>
      <c r="B20" s="40"/>
      <c r="C20" s="40"/>
      <c r="D20" s="40"/>
      <c r="E20" s="40"/>
      <c r="F20" s="40"/>
      <c r="G20" s="40"/>
      <c r="H20" s="40"/>
      <c r="I20" s="70">
        <v>11034</v>
      </c>
      <c r="J20" s="40"/>
      <c r="K20" s="40">
        <f t="shared" si="0"/>
        <v>11034</v>
      </c>
      <c r="L20" s="70">
        <f>4000+100</f>
        <v>4100</v>
      </c>
      <c r="M20" s="40"/>
      <c r="N20" s="40">
        <f t="shared" si="1"/>
        <v>15134</v>
      </c>
    </row>
    <row r="21" spans="1:14" ht="12.75">
      <c r="A21" s="8" t="s">
        <v>226</v>
      </c>
      <c r="B21" s="40"/>
      <c r="C21" s="40"/>
      <c r="D21" s="40"/>
      <c r="E21" s="40"/>
      <c r="F21" s="40"/>
      <c r="G21" s="40"/>
      <c r="H21" s="40"/>
      <c r="I21" s="40">
        <v>634</v>
      </c>
      <c r="J21" s="40"/>
      <c r="K21" s="40">
        <f t="shared" si="0"/>
        <v>634</v>
      </c>
      <c r="L21" s="40"/>
      <c r="M21" s="40"/>
      <c r="N21" s="40">
        <f t="shared" si="1"/>
        <v>634</v>
      </c>
    </row>
    <row r="22" spans="1:14" ht="12.75">
      <c r="A22" s="8" t="s">
        <v>220</v>
      </c>
      <c r="B22" s="40"/>
      <c r="C22" s="40"/>
      <c r="D22" s="40"/>
      <c r="E22" s="40"/>
      <c r="F22" s="40"/>
      <c r="G22" s="40"/>
      <c r="H22" s="40"/>
      <c r="I22" s="40">
        <v>7</v>
      </c>
      <c r="J22" s="40"/>
      <c r="K22" s="40">
        <f t="shared" si="0"/>
        <v>7</v>
      </c>
      <c r="L22" s="40">
        <v>574.3</v>
      </c>
      <c r="M22" s="40"/>
      <c r="N22" s="40">
        <f t="shared" si="1"/>
        <v>581.3</v>
      </c>
    </row>
    <row r="23" spans="1:14" ht="12.75">
      <c r="A23" s="8" t="s">
        <v>190</v>
      </c>
      <c r="B23" s="40"/>
      <c r="C23" s="40"/>
      <c r="D23" s="40"/>
      <c r="E23" s="40"/>
      <c r="F23" s="40">
        <v>22658.8</v>
      </c>
      <c r="G23" s="40">
        <v>11920</v>
      </c>
      <c r="H23" s="40">
        <f aca="true" t="shared" si="2" ref="H23:H30">E23+F23+G23</f>
        <v>34578.8</v>
      </c>
      <c r="I23" s="40"/>
      <c r="J23" s="40">
        <f>7557.9-29.6</f>
        <v>7528.299999999999</v>
      </c>
      <c r="K23" s="40">
        <f t="shared" si="0"/>
        <v>42107.100000000006</v>
      </c>
      <c r="L23" s="40">
        <f>6531.4</f>
        <v>6531.4</v>
      </c>
      <c r="M23" s="40"/>
      <c r="N23" s="40">
        <f t="shared" si="1"/>
        <v>48638.50000000001</v>
      </c>
    </row>
    <row r="24" spans="1:14" ht="12.75">
      <c r="A24" s="8" t="s">
        <v>59</v>
      </c>
      <c r="B24" s="40">
        <f>SUM(B25:B29)</f>
        <v>129566</v>
      </c>
      <c r="C24" s="40">
        <f>SUM(C25:C29)</f>
        <v>-364.2</v>
      </c>
      <c r="D24" s="40">
        <f>SUM(D25:D29)</f>
        <v>2775.4</v>
      </c>
      <c r="E24" s="40">
        <f>B24+C24+D24</f>
        <v>131977.2</v>
      </c>
      <c r="F24" s="40"/>
      <c r="G24" s="40"/>
      <c r="H24" s="40">
        <f t="shared" si="2"/>
        <v>131977.2</v>
      </c>
      <c r="I24" s="40">
        <f>SUM(I25:I29)</f>
        <v>-30035</v>
      </c>
      <c r="J24" s="40">
        <f>SUM(J25:J29)</f>
        <v>4373.8</v>
      </c>
      <c r="K24" s="40">
        <f t="shared" si="0"/>
        <v>106316.00000000001</v>
      </c>
      <c r="L24" s="40">
        <f>SUM(L25:L29)</f>
        <v>15880</v>
      </c>
      <c r="M24" s="40"/>
      <c r="N24" s="40">
        <f t="shared" si="1"/>
        <v>122196.00000000001</v>
      </c>
    </row>
    <row r="25" spans="1:14" ht="12.75">
      <c r="A25" s="8" t="s">
        <v>71</v>
      </c>
      <c r="B25" s="40">
        <v>52000</v>
      </c>
      <c r="C25" s="40"/>
      <c r="D25" s="40"/>
      <c r="E25" s="40">
        <f>B25+C25</f>
        <v>52000</v>
      </c>
      <c r="F25" s="40"/>
      <c r="G25" s="40"/>
      <c r="H25" s="40">
        <f t="shared" si="2"/>
        <v>52000</v>
      </c>
      <c r="I25" s="40">
        <v>-30086</v>
      </c>
      <c r="J25" s="40"/>
      <c r="K25" s="40">
        <f t="shared" si="0"/>
        <v>21914</v>
      </c>
      <c r="L25" s="40">
        <v>13000</v>
      </c>
      <c r="M25" s="40"/>
      <c r="N25" s="40">
        <f t="shared" si="1"/>
        <v>34914</v>
      </c>
    </row>
    <row r="26" spans="1:14" ht="12.75">
      <c r="A26" s="8" t="s">
        <v>61</v>
      </c>
      <c r="B26" s="40">
        <v>26718</v>
      </c>
      <c r="C26" s="40"/>
      <c r="D26" s="40">
        <v>2775.4</v>
      </c>
      <c r="E26" s="40">
        <f>B26+C26+D26</f>
        <v>29493.4</v>
      </c>
      <c r="F26" s="40"/>
      <c r="G26" s="40"/>
      <c r="H26" s="40">
        <f t="shared" si="2"/>
        <v>29493.4</v>
      </c>
      <c r="I26" s="40"/>
      <c r="J26" s="40">
        <v>4541.2</v>
      </c>
      <c r="K26" s="40">
        <f t="shared" si="0"/>
        <v>34034.6</v>
      </c>
      <c r="L26" s="40">
        <v>2880</v>
      </c>
      <c r="M26" s="40"/>
      <c r="N26" s="40">
        <f t="shared" si="1"/>
        <v>36914.6</v>
      </c>
    </row>
    <row r="27" spans="1:14" ht="12.75">
      <c r="A27" s="8" t="s">
        <v>62</v>
      </c>
      <c r="B27" s="40">
        <v>25574</v>
      </c>
      <c r="C27" s="40"/>
      <c r="D27" s="40"/>
      <c r="E27" s="40">
        <f>B27+C27+D27</f>
        <v>25574</v>
      </c>
      <c r="F27" s="40"/>
      <c r="G27" s="40"/>
      <c r="H27" s="40">
        <f t="shared" si="2"/>
        <v>25574</v>
      </c>
      <c r="I27" s="40"/>
      <c r="J27" s="40">
        <f>-197+29.6</f>
        <v>-167.4</v>
      </c>
      <c r="K27" s="40">
        <f t="shared" si="0"/>
        <v>25406.6</v>
      </c>
      <c r="L27" s="40"/>
      <c r="M27" s="40"/>
      <c r="N27" s="40">
        <f t="shared" si="1"/>
        <v>25406.6</v>
      </c>
    </row>
    <row r="28" spans="1:14" ht="12.75">
      <c r="A28" s="8" t="s">
        <v>63</v>
      </c>
      <c r="B28" s="40">
        <v>4720</v>
      </c>
      <c r="C28" s="40"/>
      <c r="D28" s="40"/>
      <c r="E28" s="40">
        <f>B28+C28</f>
        <v>4720</v>
      </c>
      <c r="F28" s="40"/>
      <c r="G28" s="40"/>
      <c r="H28" s="40">
        <f t="shared" si="2"/>
        <v>4720</v>
      </c>
      <c r="I28" s="40">
        <v>51</v>
      </c>
      <c r="J28" s="40"/>
      <c r="K28" s="40">
        <f t="shared" si="0"/>
        <v>4771</v>
      </c>
      <c r="L28" s="40"/>
      <c r="M28" s="40"/>
      <c r="N28" s="40">
        <f t="shared" si="1"/>
        <v>4771</v>
      </c>
    </row>
    <row r="29" spans="1:14" ht="12.75">
      <c r="A29" s="8" t="s">
        <v>64</v>
      </c>
      <c r="B29" s="40">
        <v>20554</v>
      </c>
      <c r="C29" s="40">
        <v>-364.2</v>
      </c>
      <c r="D29" s="40"/>
      <c r="E29" s="40">
        <f>B29+C29</f>
        <v>20189.8</v>
      </c>
      <c r="F29" s="40"/>
      <c r="G29" s="40"/>
      <c r="H29" s="40">
        <f t="shared" si="2"/>
        <v>20189.8</v>
      </c>
      <c r="I29" s="40"/>
      <c r="J29" s="40"/>
      <c r="K29" s="40">
        <f t="shared" si="0"/>
        <v>20189.8</v>
      </c>
      <c r="L29" s="40"/>
      <c r="M29" s="40"/>
      <c r="N29" s="40">
        <f t="shared" si="1"/>
        <v>20189.8</v>
      </c>
    </row>
    <row r="30" spans="1:14" ht="13.5" customHeight="1">
      <c r="A30" s="12" t="s">
        <v>88</v>
      </c>
      <c r="B30" s="41">
        <f>B32+B34</f>
        <v>0</v>
      </c>
      <c r="C30" s="41">
        <f>C32+C34</f>
        <v>6500</v>
      </c>
      <c r="D30" s="41">
        <f>D32+D34</f>
        <v>50</v>
      </c>
      <c r="E30" s="39">
        <f>B30+C30+D30</f>
        <v>6550</v>
      </c>
      <c r="F30" s="41">
        <f>SUM(F32:F34)</f>
        <v>9100</v>
      </c>
      <c r="G30" s="41">
        <f>G32+G34</f>
        <v>0</v>
      </c>
      <c r="H30" s="39">
        <f t="shared" si="2"/>
        <v>15650</v>
      </c>
      <c r="I30" s="41">
        <f>SUM(I32:I34)</f>
        <v>19052</v>
      </c>
      <c r="J30" s="41">
        <f>J32+J34</f>
        <v>3274.7</v>
      </c>
      <c r="K30" s="39">
        <f t="shared" si="0"/>
        <v>37976.7</v>
      </c>
      <c r="L30" s="41">
        <f>SUM(L32:L34)</f>
        <v>4497.3</v>
      </c>
      <c r="M30" s="41">
        <f>M32+M34</f>
        <v>0</v>
      </c>
      <c r="N30" s="39">
        <f t="shared" si="1"/>
        <v>42474</v>
      </c>
    </row>
    <row r="31" spans="1:14" ht="9.75" customHeight="1">
      <c r="A31" s="10" t="s">
        <v>65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>
      <c r="A32" s="8" t="s">
        <v>89</v>
      </c>
      <c r="B32" s="40"/>
      <c r="C32" s="40"/>
      <c r="D32" s="40">
        <v>50</v>
      </c>
      <c r="E32" s="40">
        <f>B32+C32+D32</f>
        <v>50</v>
      </c>
      <c r="F32" s="40"/>
      <c r="G32" s="40"/>
      <c r="H32" s="40">
        <f>E32+F32+G32</f>
        <v>50</v>
      </c>
      <c r="I32" s="40"/>
      <c r="J32" s="40">
        <v>3274.7</v>
      </c>
      <c r="K32" s="40">
        <f>H32+I32+J32</f>
        <v>3324.7</v>
      </c>
      <c r="L32" s="40">
        <v>4497.3</v>
      </c>
      <c r="M32" s="40"/>
      <c r="N32" s="40">
        <f>K32+L32+M32</f>
        <v>7822</v>
      </c>
    </row>
    <row r="33" spans="1:14" ht="12.75">
      <c r="A33" s="8" t="s">
        <v>191</v>
      </c>
      <c r="B33" s="40"/>
      <c r="C33" s="40"/>
      <c r="D33" s="40"/>
      <c r="E33" s="40"/>
      <c r="F33" s="40">
        <v>9100</v>
      </c>
      <c r="G33" s="40"/>
      <c r="H33" s="40">
        <f>E33+F33+G33</f>
        <v>9100</v>
      </c>
      <c r="I33" s="70">
        <v>19052</v>
      </c>
      <c r="J33" s="40"/>
      <c r="K33" s="40">
        <f>H33+I33+J33</f>
        <v>28152</v>
      </c>
      <c r="L33" s="70"/>
      <c r="M33" s="40"/>
      <c r="N33" s="40">
        <f>K33+L33+M33</f>
        <v>28152</v>
      </c>
    </row>
    <row r="34" spans="1:14" ht="12.75">
      <c r="A34" s="8" t="s">
        <v>111</v>
      </c>
      <c r="B34" s="40"/>
      <c r="C34" s="40">
        <v>6500</v>
      </c>
      <c r="D34" s="40"/>
      <c r="E34" s="40">
        <f>B34+C34+D34</f>
        <v>6500</v>
      </c>
      <c r="F34" s="40"/>
      <c r="G34" s="40"/>
      <c r="H34" s="40">
        <f>E34+F34+G34</f>
        <v>6500</v>
      </c>
      <c r="I34" s="40"/>
      <c r="J34" s="40"/>
      <c r="K34" s="40">
        <f>H34+I34+J34</f>
        <v>6500</v>
      </c>
      <c r="L34" s="40"/>
      <c r="M34" s="40"/>
      <c r="N34" s="40">
        <f>K34+L34+M34</f>
        <v>6500</v>
      </c>
    </row>
    <row r="35" spans="1:14" ht="12.75">
      <c r="A35" s="2" t="s">
        <v>138</v>
      </c>
      <c r="B35" s="39">
        <f>SUM(B37:B51)</f>
        <v>79147</v>
      </c>
      <c r="C35" s="39">
        <f>SUM(C37:C51)</f>
        <v>1048526.1</v>
      </c>
      <c r="D35" s="39">
        <f>SUM(D37:D51)</f>
        <v>0</v>
      </c>
      <c r="E35" s="39">
        <f>B35+C35+D35</f>
        <v>1127673.1</v>
      </c>
      <c r="F35" s="39">
        <f>SUM(F37:F51)</f>
        <v>1056587.3000000003</v>
      </c>
      <c r="G35" s="39">
        <f>SUM(G37:G51)</f>
        <v>0</v>
      </c>
      <c r="H35" s="39">
        <f>E35+F35+G35</f>
        <v>2184260.4000000004</v>
      </c>
      <c r="I35" s="39">
        <f>SUM(I37:I51)</f>
        <v>1052405.6</v>
      </c>
      <c r="J35" s="39">
        <f>SUM(J37:J51)</f>
        <v>7188</v>
      </c>
      <c r="K35" s="39">
        <f>H35+I35+J35</f>
        <v>3243854.0000000005</v>
      </c>
      <c r="L35" s="39">
        <f>SUM(L37:L51)</f>
        <v>1046514.6000000002</v>
      </c>
      <c r="M35" s="39">
        <f>SUM(M37:M51)</f>
        <v>0</v>
      </c>
      <c r="N35" s="39">
        <f>K35+L35+M35</f>
        <v>4290368.600000001</v>
      </c>
    </row>
    <row r="36" spans="1:14" ht="9.75" customHeight="1">
      <c r="A36" s="3" t="s">
        <v>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12.75">
      <c r="A37" s="4" t="s">
        <v>139</v>
      </c>
      <c r="B37" s="42">
        <v>78997</v>
      </c>
      <c r="C37" s="42"/>
      <c r="D37" s="42"/>
      <c r="E37" s="40">
        <f aca="true" t="shared" si="3" ref="E37:E42">B37+C37</f>
        <v>78997</v>
      </c>
      <c r="F37" s="42"/>
      <c r="G37" s="42"/>
      <c r="H37" s="40">
        <f aca="true" t="shared" si="4" ref="H37:H42">E37+F37+G37</f>
        <v>78997</v>
      </c>
      <c r="I37" s="42"/>
      <c r="J37" s="42"/>
      <c r="K37" s="40">
        <f aca="true" t="shared" si="5" ref="K37:K43">H37+I37+J37</f>
        <v>78997</v>
      </c>
      <c r="L37" s="42"/>
      <c r="M37" s="42"/>
      <c r="N37" s="40">
        <f aca="true" t="shared" si="6" ref="N37:N52">K37+L37+M37</f>
        <v>78997</v>
      </c>
    </row>
    <row r="38" spans="1:14" ht="12.75">
      <c r="A38" s="4" t="s">
        <v>24</v>
      </c>
      <c r="B38" s="42"/>
      <c r="C38" s="42">
        <f>3649+440.4</f>
        <v>4089.4</v>
      </c>
      <c r="D38" s="42"/>
      <c r="E38" s="40">
        <f t="shared" si="3"/>
        <v>4089.4</v>
      </c>
      <c r="F38" s="42"/>
      <c r="G38" s="42"/>
      <c r="H38" s="40">
        <f t="shared" si="4"/>
        <v>4089.4</v>
      </c>
      <c r="I38" s="42">
        <f>555.7+10+119.5+828.8+423+462.6</f>
        <v>2399.6</v>
      </c>
      <c r="J38" s="42"/>
      <c r="K38" s="40">
        <f t="shared" si="5"/>
        <v>6489</v>
      </c>
      <c r="L38" s="42">
        <v>556.5</v>
      </c>
      <c r="M38" s="42"/>
      <c r="N38" s="40">
        <f t="shared" si="6"/>
        <v>7045.5</v>
      </c>
    </row>
    <row r="39" spans="1:14" ht="12.75" customHeight="1">
      <c r="A39" s="4" t="s">
        <v>43</v>
      </c>
      <c r="B39" s="42"/>
      <c r="C39" s="42">
        <f>1038328+1787.2+200+1371</f>
        <v>1041686.2</v>
      </c>
      <c r="D39" s="42"/>
      <c r="E39" s="40">
        <f t="shared" si="3"/>
        <v>1041686.2</v>
      </c>
      <c r="F39" s="42">
        <f>1040013+1086+3845.8+12+770</f>
        <v>1045726.8</v>
      </c>
      <c r="G39" s="42"/>
      <c r="H39" s="40">
        <f t="shared" si="4"/>
        <v>2087413</v>
      </c>
      <c r="I39" s="42">
        <f>767.3+1653.6+1011439+22390+2917+100.9+300+352.4+561</f>
        <v>1040481.2000000001</v>
      </c>
      <c r="J39" s="42"/>
      <c r="K39" s="40">
        <f t="shared" si="5"/>
        <v>3127894.2</v>
      </c>
      <c r="L39" s="42">
        <f>996330+3024+2000+867.8+1015.9+200+264.9+365.8-149.4+24</f>
        <v>1003943.0000000001</v>
      </c>
      <c r="M39" s="42"/>
      <c r="N39" s="40">
        <f t="shared" si="6"/>
        <v>4131837.2</v>
      </c>
    </row>
    <row r="40" spans="1:14" ht="12.75">
      <c r="A40" s="4" t="s">
        <v>52</v>
      </c>
      <c r="B40" s="42"/>
      <c r="C40" s="42">
        <f>1225.5+74.9</f>
        <v>1300.4</v>
      </c>
      <c r="D40" s="42"/>
      <c r="E40" s="40">
        <f t="shared" si="3"/>
        <v>1300.4</v>
      </c>
      <c r="F40" s="42">
        <f>2568.3+1141.2</f>
        <v>3709.5</v>
      </c>
      <c r="G40" s="42"/>
      <c r="H40" s="40">
        <f t="shared" si="4"/>
        <v>5009.9</v>
      </c>
      <c r="I40" s="42">
        <f>662</f>
        <v>662</v>
      </c>
      <c r="J40" s="42"/>
      <c r="K40" s="40">
        <f t="shared" si="5"/>
        <v>5671.9</v>
      </c>
      <c r="L40" s="42">
        <f>5560.9+471.8+1226.8</f>
        <v>7259.5</v>
      </c>
      <c r="M40" s="42"/>
      <c r="N40" s="40">
        <f t="shared" si="6"/>
        <v>12931.4</v>
      </c>
    </row>
    <row r="41" spans="1:14" ht="12.75">
      <c r="A41" s="4" t="s">
        <v>83</v>
      </c>
      <c r="B41" s="42"/>
      <c r="C41" s="42">
        <v>13</v>
      </c>
      <c r="D41" s="42"/>
      <c r="E41" s="40">
        <f t="shared" si="3"/>
        <v>13</v>
      </c>
      <c r="F41" s="42">
        <f>6118+47.6</f>
        <v>6165.6</v>
      </c>
      <c r="G41" s="42"/>
      <c r="H41" s="40">
        <f t="shared" si="4"/>
        <v>6178.6</v>
      </c>
      <c r="I41" s="42">
        <f>3512.3+451.8+4537.1</f>
        <v>8501.2</v>
      </c>
      <c r="J41" s="42"/>
      <c r="K41" s="40">
        <f t="shared" si="5"/>
        <v>14679.800000000001</v>
      </c>
      <c r="L41" s="42">
        <f>17636+11294.2+3808.4</f>
        <v>32738.600000000002</v>
      </c>
      <c r="M41" s="42"/>
      <c r="N41" s="40">
        <f t="shared" si="6"/>
        <v>47418.4</v>
      </c>
    </row>
    <row r="42" spans="1:14" ht="12.75">
      <c r="A42" s="4" t="s">
        <v>206</v>
      </c>
      <c r="B42" s="42"/>
      <c r="C42" s="42"/>
      <c r="D42" s="42"/>
      <c r="E42" s="40">
        <f t="shared" si="3"/>
        <v>0</v>
      </c>
      <c r="F42" s="42">
        <f>120+612</f>
        <v>732</v>
      </c>
      <c r="G42" s="42"/>
      <c r="H42" s="40">
        <f t="shared" si="4"/>
        <v>732</v>
      </c>
      <c r="I42" s="42">
        <f>40+20+34+61</f>
        <v>155</v>
      </c>
      <c r="J42" s="42"/>
      <c r="K42" s="40">
        <f t="shared" si="5"/>
        <v>887</v>
      </c>
      <c r="L42" s="42">
        <v>80</v>
      </c>
      <c r="M42" s="42"/>
      <c r="N42" s="40">
        <f t="shared" si="6"/>
        <v>967</v>
      </c>
    </row>
    <row r="43" spans="1:14" ht="12.75">
      <c r="A43" s="4" t="s">
        <v>217</v>
      </c>
      <c r="B43" s="42"/>
      <c r="C43" s="42"/>
      <c r="D43" s="42"/>
      <c r="E43" s="40"/>
      <c r="F43" s="42"/>
      <c r="G43" s="42"/>
      <c r="H43" s="40"/>
      <c r="I43" s="42">
        <v>50</v>
      </c>
      <c r="J43" s="42"/>
      <c r="K43" s="40">
        <f t="shared" si="5"/>
        <v>50</v>
      </c>
      <c r="L43" s="42"/>
      <c r="M43" s="42"/>
      <c r="N43" s="40">
        <f t="shared" si="6"/>
        <v>50</v>
      </c>
    </row>
    <row r="44" spans="1:14" ht="12.75">
      <c r="A44" s="4" t="s">
        <v>233</v>
      </c>
      <c r="B44" s="42"/>
      <c r="C44" s="42"/>
      <c r="D44" s="42"/>
      <c r="E44" s="40"/>
      <c r="F44" s="42"/>
      <c r="G44" s="42"/>
      <c r="H44" s="40"/>
      <c r="I44" s="42"/>
      <c r="J44" s="42"/>
      <c r="K44" s="40"/>
      <c r="L44" s="42">
        <v>300</v>
      </c>
      <c r="M44" s="42"/>
      <c r="N44" s="40">
        <f t="shared" si="6"/>
        <v>300</v>
      </c>
    </row>
    <row r="45" spans="1:14" ht="12.75">
      <c r="A45" s="4" t="s">
        <v>218</v>
      </c>
      <c r="B45" s="42"/>
      <c r="C45" s="42"/>
      <c r="D45" s="42"/>
      <c r="E45" s="40"/>
      <c r="F45" s="42"/>
      <c r="G45" s="42"/>
      <c r="H45" s="40"/>
      <c r="I45" s="42">
        <v>130</v>
      </c>
      <c r="J45" s="42"/>
      <c r="K45" s="40">
        <f aca="true" t="shared" si="7" ref="K45:K51">H45+I45+J45</f>
        <v>130</v>
      </c>
      <c r="L45" s="42"/>
      <c r="M45" s="42"/>
      <c r="N45" s="40">
        <f t="shared" si="6"/>
        <v>130</v>
      </c>
    </row>
    <row r="46" spans="1:14" ht="12.75">
      <c r="A46" s="4" t="s">
        <v>187</v>
      </c>
      <c r="B46" s="42"/>
      <c r="C46" s="42"/>
      <c r="D46" s="42"/>
      <c r="E46" s="40">
        <f>B46+C46</f>
        <v>0</v>
      </c>
      <c r="F46" s="42">
        <v>3.1</v>
      </c>
      <c r="G46" s="42"/>
      <c r="H46" s="40">
        <f aca="true" t="shared" si="8" ref="H46:H51">E46+F46+G46</f>
        <v>3.1</v>
      </c>
      <c r="I46" s="42"/>
      <c r="J46" s="42"/>
      <c r="K46" s="40">
        <f t="shared" si="7"/>
        <v>3.1</v>
      </c>
      <c r="L46" s="42">
        <v>0.4</v>
      </c>
      <c r="M46" s="42"/>
      <c r="N46" s="40">
        <f t="shared" si="6"/>
        <v>3.5</v>
      </c>
    </row>
    <row r="47" spans="1:14" ht="12.75">
      <c r="A47" s="4" t="s">
        <v>164</v>
      </c>
      <c r="B47" s="42"/>
      <c r="C47" s="42">
        <v>45.2</v>
      </c>
      <c r="D47" s="42"/>
      <c r="E47" s="40">
        <f>B47+C47</f>
        <v>45.2</v>
      </c>
      <c r="F47" s="42"/>
      <c r="G47" s="42"/>
      <c r="H47" s="40">
        <f t="shared" si="8"/>
        <v>45.2</v>
      </c>
      <c r="I47" s="42"/>
      <c r="J47" s="42"/>
      <c r="K47" s="40">
        <f t="shared" si="7"/>
        <v>45.2</v>
      </c>
      <c r="L47" s="42"/>
      <c r="M47" s="42"/>
      <c r="N47" s="40">
        <f t="shared" si="6"/>
        <v>45.2</v>
      </c>
    </row>
    <row r="48" spans="1:14" ht="12.75">
      <c r="A48" s="4" t="s">
        <v>25</v>
      </c>
      <c r="B48" s="42"/>
      <c r="C48" s="42">
        <f>14+31.3+8+16</f>
        <v>69.3</v>
      </c>
      <c r="D48" s="42"/>
      <c r="E48" s="40">
        <f>B48+C48</f>
        <v>69.3</v>
      </c>
      <c r="F48" s="42">
        <f>10.8+12+16+7</f>
        <v>45.8</v>
      </c>
      <c r="G48" s="42"/>
      <c r="H48" s="40">
        <f t="shared" si="8"/>
        <v>115.1</v>
      </c>
      <c r="I48" s="42">
        <f>24+2.6</f>
        <v>26.6</v>
      </c>
      <c r="J48" s="42"/>
      <c r="K48" s="40">
        <f t="shared" si="7"/>
        <v>141.7</v>
      </c>
      <c r="L48" s="42">
        <f>24+8+26.8+6</f>
        <v>64.8</v>
      </c>
      <c r="M48" s="42"/>
      <c r="N48" s="40">
        <f t="shared" si="6"/>
        <v>206.5</v>
      </c>
    </row>
    <row r="49" spans="1:14" ht="12.75">
      <c r="A49" s="4" t="s">
        <v>103</v>
      </c>
      <c r="B49" s="42"/>
      <c r="C49" s="42">
        <f>1322.6</f>
        <v>1322.6</v>
      </c>
      <c r="D49" s="42"/>
      <c r="E49" s="40">
        <f>B49+C49</f>
        <v>1322.6</v>
      </c>
      <c r="F49" s="42">
        <v>204.5</v>
      </c>
      <c r="G49" s="42"/>
      <c r="H49" s="40">
        <f t="shared" si="8"/>
        <v>1527.1</v>
      </c>
      <c r="I49" s="42"/>
      <c r="J49" s="42">
        <v>7188</v>
      </c>
      <c r="K49" s="40">
        <f t="shared" si="7"/>
        <v>8715.1</v>
      </c>
      <c r="L49" s="42"/>
      <c r="M49" s="42"/>
      <c r="N49" s="40">
        <f t="shared" si="6"/>
        <v>8715.1</v>
      </c>
    </row>
    <row r="50" spans="1:14" ht="12.75" hidden="1">
      <c r="A50" s="4" t="s">
        <v>79</v>
      </c>
      <c r="B50" s="42"/>
      <c r="C50" s="42"/>
      <c r="D50" s="42"/>
      <c r="E50" s="40">
        <f>B50+C50+D50</f>
        <v>0</v>
      </c>
      <c r="F50" s="42"/>
      <c r="G50" s="42"/>
      <c r="H50" s="40">
        <f t="shared" si="8"/>
        <v>0</v>
      </c>
      <c r="I50" s="42"/>
      <c r="J50" s="42"/>
      <c r="K50" s="40">
        <f t="shared" si="7"/>
        <v>0</v>
      </c>
      <c r="L50" s="42"/>
      <c r="M50" s="42"/>
      <c r="N50" s="40">
        <f t="shared" si="6"/>
        <v>0</v>
      </c>
    </row>
    <row r="51" spans="1:14" ht="12.75">
      <c r="A51" s="4" t="s">
        <v>26</v>
      </c>
      <c r="B51" s="42">
        <v>150</v>
      </c>
      <c r="C51" s="42"/>
      <c r="D51" s="42"/>
      <c r="E51" s="40">
        <f>B51+C51+D51</f>
        <v>150</v>
      </c>
      <c r="F51" s="42"/>
      <c r="G51" s="42"/>
      <c r="H51" s="40">
        <f t="shared" si="8"/>
        <v>150</v>
      </c>
      <c r="I51" s="42"/>
      <c r="J51" s="42"/>
      <c r="K51" s="40">
        <f t="shared" si="7"/>
        <v>150</v>
      </c>
      <c r="L51" s="42">
        <v>1571.8</v>
      </c>
      <c r="M51" s="42"/>
      <c r="N51" s="40">
        <f t="shared" si="6"/>
        <v>1721.8</v>
      </c>
    </row>
    <row r="52" spans="1:14" ht="12.75">
      <c r="A52" s="12" t="s">
        <v>188</v>
      </c>
      <c r="B52" s="42"/>
      <c r="C52" s="42"/>
      <c r="D52" s="42"/>
      <c r="E52" s="41">
        <f aca="true" t="shared" si="9" ref="E52:J52">E54</f>
        <v>0</v>
      </c>
      <c r="F52" s="41">
        <f t="shared" si="9"/>
        <v>12</v>
      </c>
      <c r="G52" s="41">
        <f t="shared" si="9"/>
        <v>0</v>
      </c>
      <c r="H52" s="41">
        <f t="shared" si="9"/>
        <v>12</v>
      </c>
      <c r="I52" s="41">
        <f t="shared" si="9"/>
        <v>468.4</v>
      </c>
      <c r="J52" s="41">
        <f t="shared" si="9"/>
        <v>0</v>
      </c>
      <c r="K52" s="41">
        <f>K54+K55</f>
        <v>480.4</v>
      </c>
      <c r="L52" s="41">
        <f>L54+L55</f>
        <v>712</v>
      </c>
      <c r="M52" s="41">
        <f>M54</f>
        <v>0</v>
      </c>
      <c r="N52" s="39">
        <f t="shared" si="6"/>
        <v>1192.4</v>
      </c>
    </row>
    <row r="53" spans="1:14" ht="12.75">
      <c r="A53" s="10" t="s">
        <v>1</v>
      </c>
      <c r="B53" s="42"/>
      <c r="C53" s="42"/>
      <c r="D53" s="42"/>
      <c r="E53" s="40"/>
      <c r="F53" s="42"/>
      <c r="G53" s="42"/>
      <c r="H53" s="40"/>
      <c r="I53" s="42"/>
      <c r="J53" s="42"/>
      <c r="K53" s="40"/>
      <c r="L53" s="42"/>
      <c r="M53" s="42"/>
      <c r="N53" s="40"/>
    </row>
    <row r="54" spans="1:14" ht="12.75">
      <c r="A54" s="4" t="s">
        <v>201</v>
      </c>
      <c r="B54" s="42"/>
      <c r="C54" s="42"/>
      <c r="D54" s="42"/>
      <c r="E54" s="40"/>
      <c r="F54" s="42">
        <v>12</v>
      </c>
      <c r="G54" s="42"/>
      <c r="H54" s="40">
        <f>E54+F54+G54</f>
        <v>12</v>
      </c>
      <c r="I54" s="42">
        <f>468.4</f>
        <v>468.4</v>
      </c>
      <c r="J54" s="42"/>
      <c r="K54" s="40">
        <f>H54+I54+J54</f>
        <v>480.4</v>
      </c>
      <c r="L54" s="42"/>
      <c r="M54" s="42"/>
      <c r="N54" s="40">
        <f>K54+L54+M54</f>
        <v>480.4</v>
      </c>
    </row>
    <row r="55" spans="1:14" ht="12.75">
      <c r="A55" s="4" t="s">
        <v>236</v>
      </c>
      <c r="B55" s="42"/>
      <c r="C55" s="42"/>
      <c r="D55" s="42"/>
      <c r="E55" s="40"/>
      <c r="F55" s="42"/>
      <c r="G55" s="42"/>
      <c r="H55" s="40"/>
      <c r="I55" s="42"/>
      <c r="J55" s="42"/>
      <c r="K55" s="40"/>
      <c r="L55" s="42">
        <v>712</v>
      </c>
      <c r="M55" s="42"/>
      <c r="N55" s="40">
        <f>K55+L55+M55</f>
        <v>712</v>
      </c>
    </row>
    <row r="56" spans="1:14" ht="12.75">
      <c r="A56" s="2" t="s">
        <v>140</v>
      </c>
      <c r="B56" s="39">
        <f>SUM(B58:B63)</f>
        <v>0</v>
      </c>
      <c r="C56" s="39">
        <f>SUM(C58:C63)</f>
        <v>600</v>
      </c>
      <c r="D56" s="39"/>
      <c r="E56" s="39">
        <f>B56+C56</f>
        <v>600</v>
      </c>
      <c r="F56" s="39">
        <f>SUM(F58:F63)</f>
        <v>100030.09999999999</v>
      </c>
      <c r="G56" s="39"/>
      <c r="H56" s="39">
        <f>E56+F56+G56</f>
        <v>100630.09999999999</v>
      </c>
      <c r="I56" s="39">
        <f>SUM(I58:I63)</f>
        <v>0</v>
      </c>
      <c r="J56" s="39"/>
      <c r="K56" s="39">
        <f>H56+I56+J56</f>
        <v>100630.09999999999</v>
      </c>
      <c r="L56" s="39">
        <f>SUM(L58:L63)</f>
        <v>6239.999999999999</v>
      </c>
      <c r="M56" s="39"/>
      <c r="N56" s="39">
        <f>K56+L56+M56</f>
        <v>106870.09999999999</v>
      </c>
    </row>
    <row r="57" spans="1:14" ht="12.75">
      <c r="A57" s="3" t="s">
        <v>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3.5" customHeight="1">
      <c r="A58" s="4" t="s">
        <v>43</v>
      </c>
      <c r="B58" s="42"/>
      <c r="C58" s="42"/>
      <c r="D58" s="42"/>
      <c r="E58" s="40">
        <f aca="true" t="shared" si="10" ref="E58:E63">B58+C58</f>
        <v>0</v>
      </c>
      <c r="F58" s="42"/>
      <c r="G58" s="42"/>
      <c r="H58" s="40">
        <f>E58+F58</f>
        <v>0</v>
      </c>
      <c r="I58" s="42"/>
      <c r="J58" s="42"/>
      <c r="K58" s="40">
        <f>H58+I58</f>
        <v>0</v>
      </c>
      <c r="L58" s="42">
        <v>562</v>
      </c>
      <c r="M58" s="42"/>
      <c r="N58" s="40">
        <f>K58+L58</f>
        <v>562</v>
      </c>
    </row>
    <row r="59" spans="1:14" ht="12.75" hidden="1">
      <c r="A59" s="5" t="s">
        <v>87</v>
      </c>
      <c r="B59" s="42"/>
      <c r="C59" s="42"/>
      <c r="D59" s="42"/>
      <c r="E59" s="40">
        <f t="shared" si="10"/>
        <v>0</v>
      </c>
      <c r="F59" s="42"/>
      <c r="G59" s="42"/>
      <c r="H59" s="40">
        <f>E59+F59</f>
        <v>0</v>
      </c>
      <c r="I59" s="42"/>
      <c r="J59" s="42"/>
      <c r="K59" s="40">
        <f>H59+I59</f>
        <v>0</v>
      </c>
      <c r="L59" s="42"/>
      <c r="M59" s="42"/>
      <c r="N59" s="40">
        <f>K59+L59</f>
        <v>0</v>
      </c>
    </row>
    <row r="60" spans="1:14" ht="12.75">
      <c r="A60" s="4" t="s">
        <v>83</v>
      </c>
      <c r="B60" s="42"/>
      <c r="C60" s="42">
        <v>600</v>
      </c>
      <c r="D60" s="42"/>
      <c r="E60" s="40">
        <f t="shared" si="10"/>
        <v>600</v>
      </c>
      <c r="F60" s="42">
        <f>23232.8+1702.6+65175.7+9919</f>
        <v>100030.09999999999</v>
      </c>
      <c r="G60" s="42"/>
      <c r="H60" s="40">
        <f>E60+F60+G60</f>
        <v>100630.09999999999</v>
      </c>
      <c r="I60" s="42"/>
      <c r="J60" s="42"/>
      <c r="K60" s="40">
        <f>H60+I60+J60</f>
        <v>100630.09999999999</v>
      </c>
      <c r="L60" s="42">
        <f>4363.9+312.4+1001.7</f>
        <v>5677.999999999999</v>
      </c>
      <c r="M60" s="42"/>
      <c r="N60" s="40">
        <f>K60+L60+M60</f>
        <v>106308.09999999999</v>
      </c>
    </row>
    <row r="61" spans="1:14" ht="12.75" hidden="1">
      <c r="A61" s="4" t="s">
        <v>112</v>
      </c>
      <c r="B61" s="42"/>
      <c r="C61" s="42"/>
      <c r="D61" s="42"/>
      <c r="E61" s="40">
        <f t="shared" si="10"/>
        <v>0</v>
      </c>
      <c r="F61" s="42"/>
      <c r="G61" s="42"/>
      <c r="H61" s="40">
        <f>E61+F61</f>
        <v>0</v>
      </c>
      <c r="I61" s="42"/>
      <c r="J61" s="42"/>
      <c r="K61" s="40">
        <f>H61+I61</f>
        <v>0</v>
      </c>
      <c r="L61" s="42"/>
      <c r="M61" s="42"/>
      <c r="N61" s="40">
        <f>K61+L61</f>
        <v>0</v>
      </c>
    </row>
    <row r="62" spans="1:14" ht="12.75" hidden="1">
      <c r="A62" s="4" t="s">
        <v>116</v>
      </c>
      <c r="B62" s="42"/>
      <c r="C62" s="42"/>
      <c r="D62" s="42"/>
      <c r="E62" s="40">
        <f t="shared" si="10"/>
        <v>0</v>
      </c>
      <c r="F62" s="42"/>
      <c r="G62" s="42"/>
      <c r="H62" s="40">
        <f>E62+F62</f>
        <v>0</v>
      </c>
      <c r="I62" s="42"/>
      <c r="J62" s="42"/>
      <c r="K62" s="40">
        <f>H62+I62</f>
        <v>0</v>
      </c>
      <c r="L62" s="42"/>
      <c r="M62" s="42"/>
      <c r="N62" s="40">
        <f>K62+L62</f>
        <v>0</v>
      </c>
    </row>
    <row r="63" spans="1:14" ht="12.75" hidden="1">
      <c r="A63" s="4" t="s">
        <v>26</v>
      </c>
      <c r="B63" s="42"/>
      <c r="C63" s="42"/>
      <c r="D63" s="42"/>
      <c r="E63" s="40">
        <f t="shared" si="10"/>
        <v>0</v>
      </c>
      <c r="F63" s="42"/>
      <c r="G63" s="42"/>
      <c r="H63" s="40">
        <f>E63+F63</f>
        <v>0</v>
      </c>
      <c r="I63" s="42"/>
      <c r="J63" s="42"/>
      <c r="K63" s="40">
        <f>H63+I63</f>
        <v>0</v>
      </c>
      <c r="L63" s="42"/>
      <c r="M63" s="42"/>
      <c r="N63" s="40">
        <f>K63+L63</f>
        <v>0</v>
      </c>
    </row>
    <row r="64" spans="1:14" ht="12.75">
      <c r="A64" s="12" t="s">
        <v>189</v>
      </c>
      <c r="B64" s="42"/>
      <c r="C64" s="42"/>
      <c r="D64" s="42"/>
      <c r="E64" s="41">
        <f>E66</f>
        <v>0</v>
      </c>
      <c r="F64" s="41">
        <f>F66</f>
        <v>4861.9</v>
      </c>
      <c r="G64" s="41">
        <f>G66</f>
        <v>0</v>
      </c>
      <c r="H64" s="41">
        <f>H66+H67</f>
        <v>4861.9</v>
      </c>
      <c r="I64" s="41">
        <f>I66+I67</f>
        <v>79865.7</v>
      </c>
      <c r="J64" s="41">
        <f>J66</f>
        <v>0</v>
      </c>
      <c r="K64" s="41">
        <f>K66+K67</f>
        <v>84727.6</v>
      </c>
      <c r="L64" s="41">
        <f>L66+L67</f>
        <v>21402</v>
      </c>
      <c r="M64" s="41">
        <f>M66</f>
        <v>0</v>
      </c>
      <c r="N64" s="41">
        <f>N66+N67</f>
        <v>106129.6</v>
      </c>
    </row>
    <row r="65" spans="1:14" ht="12.75">
      <c r="A65" s="10" t="s">
        <v>1</v>
      </c>
      <c r="B65" s="42"/>
      <c r="C65" s="42"/>
      <c r="D65" s="42"/>
      <c r="E65" s="40"/>
      <c r="F65" s="42"/>
      <c r="G65" s="42"/>
      <c r="H65" s="40"/>
      <c r="I65" s="42"/>
      <c r="J65" s="42"/>
      <c r="K65" s="40"/>
      <c r="L65" s="42"/>
      <c r="M65" s="42"/>
      <c r="N65" s="40"/>
    </row>
    <row r="66" spans="1:14" ht="12.75">
      <c r="A66" s="4" t="s">
        <v>202</v>
      </c>
      <c r="B66" s="42"/>
      <c r="C66" s="42"/>
      <c r="D66" s="42"/>
      <c r="E66" s="40"/>
      <c r="F66" s="42">
        <v>4861.9</v>
      </c>
      <c r="G66" s="42"/>
      <c r="H66" s="40">
        <f>E66+F66+G66</f>
        <v>4861.9</v>
      </c>
      <c r="I66" s="42">
        <f>16889+14293.7</f>
        <v>31182.7</v>
      </c>
      <c r="J66" s="42"/>
      <c r="K66" s="40">
        <f>H66+I66+J66</f>
        <v>36044.6</v>
      </c>
      <c r="L66" s="42">
        <v>5495.6</v>
      </c>
      <c r="M66" s="42"/>
      <c r="N66" s="40">
        <f>K66+L66+M66</f>
        <v>41540.2</v>
      </c>
    </row>
    <row r="67" spans="1:14" ht="12.75">
      <c r="A67" s="4" t="s">
        <v>219</v>
      </c>
      <c r="B67" s="42"/>
      <c r="C67" s="42"/>
      <c r="D67" s="42"/>
      <c r="E67" s="40"/>
      <c r="F67" s="42"/>
      <c r="G67" s="42"/>
      <c r="H67" s="40"/>
      <c r="I67" s="42">
        <f>48625.9+57.1</f>
        <v>48683</v>
      </c>
      <c r="J67" s="42"/>
      <c r="K67" s="40">
        <f>H67+I67+J67</f>
        <v>48683</v>
      </c>
      <c r="L67" s="42">
        <v>15906.4</v>
      </c>
      <c r="M67" s="42"/>
      <c r="N67" s="40">
        <f>K67+L67+M67</f>
        <v>64589.4</v>
      </c>
    </row>
    <row r="68" spans="1:14" ht="12.75">
      <c r="A68" s="12" t="s">
        <v>68</v>
      </c>
      <c r="B68" s="41"/>
      <c r="C68" s="41"/>
      <c r="D68" s="41"/>
      <c r="E68" s="41">
        <f>B68+C68+D68</f>
        <v>0</v>
      </c>
      <c r="F68" s="41">
        <v>78</v>
      </c>
      <c r="G68" s="41">
        <v>4950.3</v>
      </c>
      <c r="H68" s="41">
        <f>E68+F68+G68</f>
        <v>5028.3</v>
      </c>
      <c r="I68" s="41"/>
      <c r="J68" s="41"/>
      <c r="K68" s="41">
        <f>H68+I68+J68</f>
        <v>5028.3</v>
      </c>
      <c r="L68" s="41">
        <v>1100</v>
      </c>
      <c r="M68" s="41"/>
      <c r="N68" s="41">
        <f>K68+L68+M68</f>
        <v>6128.3</v>
      </c>
    </row>
    <row r="69" spans="1:14" ht="21.75" customHeight="1" thickBot="1">
      <c r="A69" s="11" t="s">
        <v>2</v>
      </c>
      <c r="B69" s="43">
        <f>B10+B13+B35+B68+B56+B30</f>
        <v>2911900</v>
      </c>
      <c r="C69" s="43">
        <f>C10+C13+C35+C68+C56+C30</f>
        <v>1114515.1</v>
      </c>
      <c r="D69" s="43">
        <f>D10+D13+D35+D68+D56+D30</f>
        <v>2825.4</v>
      </c>
      <c r="E69" s="43">
        <f>E10+E13+E35+E68+E56+E30+E64+E52</f>
        <v>4029240.5</v>
      </c>
      <c r="F69" s="43">
        <f>F10+F13+F35+F68+F56+F30+F64+F52</f>
        <v>1210518.1000000003</v>
      </c>
      <c r="G69" s="43">
        <f>G10+G13+G35+G68+G56+G30</f>
        <v>16870.3</v>
      </c>
      <c r="H69" s="43">
        <f>H10+H13+H35+H68+H56+H30+H64+H52</f>
        <v>5256628.9</v>
      </c>
      <c r="I69" s="43">
        <f>I10+I13+I35+I68+I56+I30+I64+I52</f>
        <v>1133431.7</v>
      </c>
      <c r="J69" s="43">
        <f>J10+J13+J35+J68+J56+J30</f>
        <v>31864.800000000007</v>
      </c>
      <c r="K69" s="43">
        <f>K10+K13+K35+K68+K56+K30+K64+K52</f>
        <v>6421925.4</v>
      </c>
      <c r="L69" s="43">
        <f>L10+L13+L35+L68+L56+L30+L64+L52</f>
        <v>1121560.3000000003</v>
      </c>
      <c r="M69" s="43">
        <f>M10+M13+M35+M68+M56+M30</f>
        <v>0</v>
      </c>
      <c r="N69" s="43">
        <f>N10+N13+N35+N68+N56+N30+N64+N52</f>
        <v>7543485.7</v>
      </c>
    </row>
    <row r="70" spans="1:14" ht="24.75" customHeight="1">
      <c r="A70" s="2" t="s">
        <v>5</v>
      </c>
      <c r="B70" s="3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9.5" customHeight="1">
      <c r="A71" s="2" t="s">
        <v>14</v>
      </c>
      <c r="B71" s="39">
        <f>B72+B81</f>
        <v>39100</v>
      </c>
      <c r="C71" s="39">
        <f>C72+C81</f>
        <v>530</v>
      </c>
      <c r="D71" s="39">
        <f>D72+D81</f>
        <v>300</v>
      </c>
      <c r="E71" s="39">
        <f>B71+C71+D71</f>
        <v>39930</v>
      </c>
      <c r="F71" s="39">
        <f>F72+F81</f>
        <v>380</v>
      </c>
      <c r="G71" s="39">
        <f>G72+G81</f>
        <v>0</v>
      </c>
      <c r="H71" s="39">
        <f>E71+F71+G71</f>
        <v>40310</v>
      </c>
      <c r="I71" s="39">
        <f>I72+I81</f>
        <v>2851</v>
      </c>
      <c r="J71" s="39">
        <f>J72+J81</f>
        <v>534</v>
      </c>
      <c r="K71" s="39">
        <f>H71+I71+J71</f>
        <v>43695</v>
      </c>
      <c r="L71" s="39">
        <f>L72+L81</f>
        <v>760</v>
      </c>
      <c r="M71" s="39">
        <f>M72+M81</f>
        <v>0</v>
      </c>
      <c r="N71" s="39">
        <f>K71+L71+M71</f>
        <v>44455</v>
      </c>
    </row>
    <row r="72" spans="1:14" ht="15" customHeight="1">
      <c r="A72" s="6" t="s">
        <v>34</v>
      </c>
      <c r="B72" s="44">
        <f aca="true" t="shared" si="11" ref="B72:N72">SUM(B74:B80)</f>
        <v>39100</v>
      </c>
      <c r="C72" s="44">
        <f t="shared" si="11"/>
        <v>-80</v>
      </c>
      <c r="D72" s="44">
        <f t="shared" si="11"/>
        <v>300</v>
      </c>
      <c r="E72" s="44">
        <f t="shared" si="11"/>
        <v>39320</v>
      </c>
      <c r="F72" s="44">
        <f t="shared" si="11"/>
        <v>330</v>
      </c>
      <c r="G72" s="44">
        <f t="shared" si="11"/>
        <v>0</v>
      </c>
      <c r="H72" s="44">
        <f t="shared" si="11"/>
        <v>39650</v>
      </c>
      <c r="I72" s="44">
        <f t="shared" si="11"/>
        <v>2851</v>
      </c>
      <c r="J72" s="44">
        <f t="shared" si="11"/>
        <v>534</v>
      </c>
      <c r="K72" s="44">
        <f t="shared" si="11"/>
        <v>43035</v>
      </c>
      <c r="L72" s="44">
        <f t="shared" si="11"/>
        <v>760</v>
      </c>
      <c r="M72" s="44">
        <f t="shared" si="11"/>
        <v>0</v>
      </c>
      <c r="N72" s="44">
        <f t="shared" si="11"/>
        <v>43795</v>
      </c>
    </row>
    <row r="73" spans="1:14" ht="10.5" customHeight="1">
      <c r="A73" s="3" t="s">
        <v>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</row>
    <row r="74" spans="1:14" ht="12.75" customHeight="1">
      <c r="A74" s="4" t="s">
        <v>6</v>
      </c>
      <c r="B74" s="42">
        <v>15889</v>
      </c>
      <c r="C74" s="42"/>
      <c r="D74" s="42"/>
      <c r="E74" s="42">
        <f>B74+C74</f>
        <v>15889</v>
      </c>
      <c r="F74" s="42"/>
      <c r="G74" s="42"/>
      <c r="H74" s="40">
        <f>E74+F74+G74</f>
        <v>15889</v>
      </c>
      <c r="I74" s="42">
        <v>324</v>
      </c>
      <c r="J74" s="42"/>
      <c r="K74" s="40">
        <f aca="true" t="shared" si="12" ref="K74:K81">H74+I74+J74</f>
        <v>16213</v>
      </c>
      <c r="L74" s="42"/>
      <c r="M74" s="42"/>
      <c r="N74" s="40">
        <f aca="true" t="shared" si="13" ref="N74:N81">K74+L74+M74</f>
        <v>16213</v>
      </c>
    </row>
    <row r="75" spans="1:14" ht="12.75" customHeight="1">
      <c r="A75" s="4" t="s">
        <v>7</v>
      </c>
      <c r="B75" s="42">
        <v>3761</v>
      </c>
      <c r="C75" s="42"/>
      <c r="D75" s="42"/>
      <c r="E75" s="42">
        <f>B75+C75</f>
        <v>3761</v>
      </c>
      <c r="F75" s="42"/>
      <c r="G75" s="42"/>
      <c r="H75" s="40">
        <f>E75+F75+G75</f>
        <v>3761</v>
      </c>
      <c r="I75" s="42"/>
      <c r="J75" s="42"/>
      <c r="K75" s="40">
        <f t="shared" si="12"/>
        <v>3761</v>
      </c>
      <c r="L75" s="42"/>
      <c r="M75" s="42"/>
      <c r="N75" s="40">
        <f t="shared" si="13"/>
        <v>3761</v>
      </c>
    </row>
    <row r="76" spans="1:14" ht="12.75" customHeight="1">
      <c r="A76" s="4" t="s">
        <v>8</v>
      </c>
      <c r="B76" s="42">
        <v>1500</v>
      </c>
      <c r="C76" s="42"/>
      <c r="D76" s="42"/>
      <c r="E76" s="42">
        <f>B76+C76</f>
        <v>1500</v>
      </c>
      <c r="F76" s="42"/>
      <c r="G76" s="42"/>
      <c r="H76" s="40">
        <f>E76+F76+G76</f>
        <v>1500</v>
      </c>
      <c r="I76" s="42"/>
      <c r="J76" s="42"/>
      <c r="K76" s="40">
        <f t="shared" si="12"/>
        <v>1500</v>
      </c>
      <c r="L76" s="42"/>
      <c r="M76" s="42"/>
      <c r="N76" s="40">
        <f t="shared" si="13"/>
        <v>1500</v>
      </c>
    </row>
    <row r="77" spans="1:14" ht="12.75" customHeight="1">
      <c r="A77" s="4" t="s">
        <v>9</v>
      </c>
      <c r="B77" s="42">
        <v>7950</v>
      </c>
      <c r="C77" s="42"/>
      <c r="D77" s="42"/>
      <c r="E77" s="42">
        <f>B77+C77+D77</f>
        <v>7950</v>
      </c>
      <c r="F77" s="42"/>
      <c r="G77" s="42"/>
      <c r="H77" s="40">
        <f>E77+F77+G77</f>
        <v>7950</v>
      </c>
      <c r="I77" s="42">
        <f>1727+800</f>
        <v>2527</v>
      </c>
      <c r="J77" s="42"/>
      <c r="K77" s="40">
        <f t="shared" si="12"/>
        <v>10477</v>
      </c>
      <c r="L77" s="42"/>
      <c r="M77" s="42"/>
      <c r="N77" s="40">
        <f t="shared" si="13"/>
        <v>10477</v>
      </c>
    </row>
    <row r="78" spans="1:14" ht="12.75" customHeight="1">
      <c r="A78" s="4" t="s">
        <v>28</v>
      </c>
      <c r="B78" s="42">
        <v>2000</v>
      </c>
      <c r="C78" s="42"/>
      <c r="D78" s="42"/>
      <c r="E78" s="42">
        <f>SUM(B78:D78)</f>
        <v>2000</v>
      </c>
      <c r="F78" s="42"/>
      <c r="G78" s="42"/>
      <c r="H78" s="40">
        <f>E78+F78+G78</f>
        <v>2000</v>
      </c>
      <c r="I78" s="42"/>
      <c r="J78" s="42">
        <v>-150</v>
      </c>
      <c r="K78" s="40">
        <f t="shared" si="12"/>
        <v>1850</v>
      </c>
      <c r="L78" s="42">
        <v>-240</v>
      </c>
      <c r="M78" s="42"/>
      <c r="N78" s="40">
        <f t="shared" si="13"/>
        <v>1610</v>
      </c>
    </row>
    <row r="79" spans="1:14" ht="12.75" customHeight="1">
      <c r="A79" s="4" t="s">
        <v>55</v>
      </c>
      <c r="B79" s="42"/>
      <c r="C79" s="42"/>
      <c r="D79" s="42"/>
      <c r="E79" s="42"/>
      <c r="F79" s="42"/>
      <c r="G79" s="42"/>
      <c r="H79" s="40"/>
      <c r="I79" s="42"/>
      <c r="J79" s="42">
        <v>684</v>
      </c>
      <c r="K79" s="40">
        <f t="shared" si="12"/>
        <v>684</v>
      </c>
      <c r="L79" s="42"/>
      <c r="M79" s="42"/>
      <c r="N79" s="40">
        <f t="shared" si="13"/>
        <v>684</v>
      </c>
    </row>
    <row r="80" spans="1:14" ht="12.75" customHeight="1">
      <c r="A80" s="4" t="s">
        <v>10</v>
      </c>
      <c r="B80" s="42">
        <v>8000</v>
      </c>
      <c r="C80" s="42">
        <v>-80</v>
      </c>
      <c r="D80" s="42">
        <v>300</v>
      </c>
      <c r="E80" s="42">
        <f>SUM(B80:D80)</f>
        <v>8220</v>
      </c>
      <c r="F80" s="42">
        <f>-50+100+280</f>
        <v>330</v>
      </c>
      <c r="G80" s="42"/>
      <c r="H80" s="40">
        <f>E80+F80+G80</f>
        <v>8550</v>
      </c>
      <c r="I80" s="42"/>
      <c r="J80" s="42"/>
      <c r="K80" s="40">
        <f t="shared" si="12"/>
        <v>8550</v>
      </c>
      <c r="L80" s="42">
        <v>1000</v>
      </c>
      <c r="M80" s="42"/>
      <c r="N80" s="40">
        <f t="shared" si="13"/>
        <v>9550</v>
      </c>
    </row>
    <row r="81" spans="1:14" ht="12.75" customHeight="1">
      <c r="A81" s="13" t="s">
        <v>35</v>
      </c>
      <c r="B81" s="45">
        <f>SUM(B83:B84)</f>
        <v>0</v>
      </c>
      <c r="C81" s="45">
        <f>SUM(C83:C84)</f>
        <v>610</v>
      </c>
      <c r="D81" s="45">
        <f>SUM(D83:D84)</f>
        <v>0</v>
      </c>
      <c r="E81" s="45">
        <f>B81+C81+D81</f>
        <v>610</v>
      </c>
      <c r="F81" s="45">
        <f>SUM(F83:F84)</f>
        <v>50</v>
      </c>
      <c r="G81" s="45">
        <f>SUM(G83:G84)</f>
        <v>0</v>
      </c>
      <c r="H81" s="45">
        <f>E81+F81+G81</f>
        <v>660</v>
      </c>
      <c r="I81" s="45">
        <f>SUM(I83:I84)</f>
        <v>0</v>
      </c>
      <c r="J81" s="45">
        <f>SUM(J83:J84)</f>
        <v>0</v>
      </c>
      <c r="K81" s="45">
        <f t="shared" si="12"/>
        <v>660</v>
      </c>
      <c r="L81" s="45">
        <f>SUM(L83:L84)</f>
        <v>0</v>
      </c>
      <c r="M81" s="45">
        <f>SUM(M83:M84)</f>
        <v>0</v>
      </c>
      <c r="N81" s="45">
        <f t="shared" si="13"/>
        <v>660</v>
      </c>
    </row>
    <row r="82" spans="1:14" ht="9.75" customHeight="1">
      <c r="A82" s="10" t="s">
        <v>1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</row>
    <row r="83" spans="1:14" ht="12.75" customHeight="1">
      <c r="A83" s="8" t="s">
        <v>41</v>
      </c>
      <c r="B83" s="40"/>
      <c r="C83" s="40">
        <v>530</v>
      </c>
      <c r="D83" s="40"/>
      <c r="E83" s="42">
        <f>B83+C83</f>
        <v>530</v>
      </c>
      <c r="F83" s="40"/>
      <c r="G83" s="40"/>
      <c r="H83" s="40">
        <f>E83+F83+G83</f>
        <v>530</v>
      </c>
      <c r="I83" s="40"/>
      <c r="J83" s="40"/>
      <c r="K83" s="40">
        <f>H83+I83+J83</f>
        <v>530</v>
      </c>
      <c r="L83" s="40"/>
      <c r="M83" s="40"/>
      <c r="N83" s="40">
        <f>K83+L83+M83</f>
        <v>530</v>
      </c>
    </row>
    <row r="84" spans="1:14" ht="12.75" customHeight="1">
      <c r="A84" s="36" t="s">
        <v>10</v>
      </c>
      <c r="B84" s="46"/>
      <c r="C84" s="46">
        <v>80</v>
      </c>
      <c r="D84" s="46"/>
      <c r="E84" s="46">
        <f>SUM(B84:D84)</f>
        <v>80</v>
      </c>
      <c r="F84" s="46">
        <v>50</v>
      </c>
      <c r="G84" s="46"/>
      <c r="H84" s="48">
        <f>E84+F84+G84</f>
        <v>130</v>
      </c>
      <c r="I84" s="46"/>
      <c r="J84" s="46"/>
      <c r="K84" s="48">
        <f>H84+I84+J84</f>
        <v>130</v>
      </c>
      <c r="L84" s="46"/>
      <c r="M84" s="46"/>
      <c r="N84" s="48">
        <f>K84+L84+M84</f>
        <v>130</v>
      </c>
    </row>
    <row r="85" spans="1:14" ht="19.5" customHeight="1">
      <c r="A85" s="2" t="s">
        <v>15</v>
      </c>
      <c r="B85" s="39">
        <f>B86</f>
        <v>268688</v>
      </c>
      <c r="C85" s="39">
        <f>C86</f>
        <v>3649</v>
      </c>
      <c r="D85" s="39">
        <f>D86</f>
        <v>0</v>
      </c>
      <c r="E85" s="39">
        <f>B85+C85+D85</f>
        <v>272337</v>
      </c>
      <c r="F85" s="39">
        <f>F86</f>
        <v>0</v>
      </c>
      <c r="G85" s="39">
        <f>G86</f>
        <v>0</v>
      </c>
      <c r="H85" s="39">
        <f>E85+F85+G85</f>
        <v>272337</v>
      </c>
      <c r="I85" s="39">
        <f>I86</f>
        <v>1067</v>
      </c>
      <c r="J85" s="39">
        <f>J86</f>
        <v>0</v>
      </c>
      <c r="K85" s="39">
        <f>H85+I85+J85</f>
        <v>273404</v>
      </c>
      <c r="L85" s="39">
        <f>L86+L99</f>
        <v>30</v>
      </c>
      <c r="M85" s="39">
        <f>M86</f>
        <v>0</v>
      </c>
      <c r="N85" s="39">
        <f>K85+L85+M85</f>
        <v>273434</v>
      </c>
    </row>
    <row r="86" spans="1:14" ht="15" customHeight="1">
      <c r="A86" s="6" t="s">
        <v>34</v>
      </c>
      <c r="B86" s="44">
        <f>SUM(B88:B98)</f>
        <v>268688</v>
      </c>
      <c r="C86" s="44">
        <f>SUM(C88:C98)</f>
        <v>3649</v>
      </c>
      <c r="D86" s="44">
        <f>SUM(D88:D98)</f>
        <v>0</v>
      </c>
      <c r="E86" s="44">
        <f>B86+C86+D86</f>
        <v>272337</v>
      </c>
      <c r="F86" s="44">
        <f>SUM(F88:F98)</f>
        <v>0</v>
      </c>
      <c r="G86" s="44">
        <f>SUM(G88:G98)</f>
        <v>0</v>
      </c>
      <c r="H86" s="44">
        <f>E86+F86+G86</f>
        <v>272337</v>
      </c>
      <c r="I86" s="44">
        <f>SUM(I88:I98)</f>
        <v>1067</v>
      </c>
      <c r="J86" s="44">
        <f>SUM(J88:J98)</f>
        <v>0</v>
      </c>
      <c r="K86" s="44">
        <f>H86+I86+J86</f>
        <v>273404</v>
      </c>
      <c r="L86" s="44">
        <f>SUM(L88:L98)</f>
        <v>-136.5</v>
      </c>
      <c r="M86" s="44">
        <f>SUM(M88:M98)</f>
        <v>0</v>
      </c>
      <c r="N86" s="44">
        <f>K86+L86+M86</f>
        <v>273267.5</v>
      </c>
    </row>
    <row r="87" spans="1:14" ht="10.5" customHeight="1">
      <c r="A87" s="3" t="s">
        <v>1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</row>
    <row r="88" spans="1:14" ht="12.75" customHeight="1">
      <c r="A88" s="4" t="s">
        <v>11</v>
      </c>
      <c r="B88" s="42">
        <v>112632</v>
      </c>
      <c r="C88" s="42"/>
      <c r="D88" s="42"/>
      <c r="E88" s="42">
        <f>B88+C88</f>
        <v>112632</v>
      </c>
      <c r="F88" s="42"/>
      <c r="G88" s="42"/>
      <c r="H88" s="40">
        <f aca="true" t="shared" si="14" ref="H88:H93">E88+F88+G88</f>
        <v>112632</v>
      </c>
      <c r="I88" s="42"/>
      <c r="J88" s="42"/>
      <c r="K88" s="40">
        <f aca="true" t="shared" si="15" ref="K88:K93">H88+I88+J88</f>
        <v>112632</v>
      </c>
      <c r="L88" s="42">
        <v>-300</v>
      </c>
      <c r="M88" s="42"/>
      <c r="N88" s="40">
        <f aca="true" t="shared" si="16" ref="N88:N99">K88+L88+M88</f>
        <v>112332</v>
      </c>
    </row>
    <row r="89" spans="1:14" ht="12.75" customHeight="1">
      <c r="A89" s="4" t="s">
        <v>7</v>
      </c>
      <c r="B89" s="42">
        <v>38192</v>
      </c>
      <c r="C89" s="42"/>
      <c r="D89" s="42"/>
      <c r="E89" s="42">
        <f>B89+C89</f>
        <v>38192</v>
      </c>
      <c r="F89" s="42"/>
      <c r="G89" s="42"/>
      <c r="H89" s="40">
        <f t="shared" si="14"/>
        <v>38192</v>
      </c>
      <c r="I89" s="42"/>
      <c r="J89" s="42"/>
      <c r="K89" s="40">
        <f t="shared" si="15"/>
        <v>38192</v>
      </c>
      <c r="L89" s="42">
        <v>300</v>
      </c>
      <c r="M89" s="42"/>
      <c r="N89" s="40">
        <f t="shared" si="16"/>
        <v>38492</v>
      </c>
    </row>
    <row r="90" spans="1:14" ht="12.75" customHeight="1">
      <c r="A90" s="4" t="s">
        <v>12</v>
      </c>
      <c r="B90" s="42">
        <v>280</v>
      </c>
      <c r="C90" s="42"/>
      <c r="D90" s="42"/>
      <c r="E90" s="42">
        <f>B90+C90</f>
        <v>280</v>
      </c>
      <c r="F90" s="42"/>
      <c r="G90" s="42"/>
      <c r="H90" s="40">
        <f t="shared" si="14"/>
        <v>280</v>
      </c>
      <c r="I90" s="42"/>
      <c r="J90" s="42"/>
      <c r="K90" s="40">
        <f t="shared" si="15"/>
        <v>280</v>
      </c>
      <c r="L90" s="42"/>
      <c r="M90" s="42"/>
      <c r="N90" s="40">
        <f t="shared" si="16"/>
        <v>280</v>
      </c>
    </row>
    <row r="91" spans="1:14" ht="12.75" customHeight="1">
      <c r="A91" s="4" t="s">
        <v>9</v>
      </c>
      <c r="B91" s="42">
        <v>41956</v>
      </c>
      <c r="C91" s="42"/>
      <c r="D91" s="42"/>
      <c r="E91" s="42">
        <f>B91+C91+D91</f>
        <v>41956</v>
      </c>
      <c r="F91" s="42"/>
      <c r="G91" s="42"/>
      <c r="H91" s="40">
        <f t="shared" si="14"/>
        <v>41956</v>
      </c>
      <c r="I91" s="42">
        <f>-410+634</f>
        <v>224</v>
      </c>
      <c r="J91" s="42"/>
      <c r="K91" s="40">
        <f t="shared" si="15"/>
        <v>42180</v>
      </c>
      <c r="L91" s="42">
        <v>-173.2</v>
      </c>
      <c r="M91" s="42"/>
      <c r="N91" s="40">
        <f t="shared" si="16"/>
        <v>42006.8</v>
      </c>
    </row>
    <row r="92" spans="1:14" ht="12.75" customHeight="1">
      <c r="A92" s="4" t="s">
        <v>13</v>
      </c>
      <c r="B92" s="42">
        <v>152</v>
      </c>
      <c r="C92" s="42"/>
      <c r="D92" s="42"/>
      <c r="E92" s="42">
        <f>B92+C92</f>
        <v>152</v>
      </c>
      <c r="F92" s="42"/>
      <c r="G92" s="42"/>
      <c r="H92" s="40">
        <f t="shared" si="14"/>
        <v>152</v>
      </c>
      <c r="I92" s="42"/>
      <c r="J92" s="42"/>
      <c r="K92" s="40">
        <f t="shared" si="15"/>
        <v>152</v>
      </c>
      <c r="L92" s="42"/>
      <c r="M92" s="42"/>
      <c r="N92" s="40">
        <f t="shared" si="16"/>
        <v>152</v>
      </c>
    </row>
    <row r="93" spans="1:14" ht="12.75" customHeight="1">
      <c r="A93" s="4" t="s">
        <v>53</v>
      </c>
      <c r="B93" s="42">
        <v>5476</v>
      </c>
      <c r="C93" s="42"/>
      <c r="D93" s="42"/>
      <c r="E93" s="42">
        <f>B93+C93</f>
        <v>5476</v>
      </c>
      <c r="F93" s="42"/>
      <c r="G93" s="42"/>
      <c r="H93" s="40">
        <f t="shared" si="14"/>
        <v>5476</v>
      </c>
      <c r="I93" s="42">
        <v>410</v>
      </c>
      <c r="J93" s="42"/>
      <c r="K93" s="40">
        <f t="shared" si="15"/>
        <v>5886</v>
      </c>
      <c r="L93" s="42"/>
      <c r="M93" s="42"/>
      <c r="N93" s="40">
        <f t="shared" si="16"/>
        <v>5886</v>
      </c>
    </row>
    <row r="94" spans="1:14" ht="12.75" customHeight="1">
      <c r="A94" s="4" t="s">
        <v>234</v>
      </c>
      <c r="B94" s="42"/>
      <c r="C94" s="42"/>
      <c r="D94" s="42"/>
      <c r="E94" s="42"/>
      <c r="F94" s="42"/>
      <c r="G94" s="42"/>
      <c r="H94" s="40"/>
      <c r="I94" s="42"/>
      <c r="J94" s="42"/>
      <c r="K94" s="40"/>
      <c r="L94" s="42">
        <v>6.7</v>
      </c>
      <c r="M94" s="42"/>
      <c r="N94" s="40">
        <f t="shared" si="16"/>
        <v>6.7</v>
      </c>
    </row>
    <row r="95" spans="1:14" ht="12.75" customHeight="1">
      <c r="A95" s="4" t="s">
        <v>221</v>
      </c>
      <c r="B95" s="42"/>
      <c r="C95" s="42"/>
      <c r="D95" s="42"/>
      <c r="E95" s="42"/>
      <c r="F95" s="42"/>
      <c r="G95" s="42"/>
      <c r="H95" s="40"/>
      <c r="I95" s="42">
        <v>10</v>
      </c>
      <c r="J95" s="42"/>
      <c r="K95" s="40">
        <f>H95+I95+J95</f>
        <v>10</v>
      </c>
      <c r="L95" s="42">
        <v>30</v>
      </c>
      <c r="M95" s="42"/>
      <c r="N95" s="40">
        <f t="shared" si="16"/>
        <v>40</v>
      </c>
    </row>
    <row r="96" spans="1:14" ht="12.75" customHeight="1">
      <c r="A96" s="4" t="s">
        <v>222</v>
      </c>
      <c r="B96" s="42"/>
      <c r="C96" s="42"/>
      <c r="D96" s="42"/>
      <c r="E96" s="42"/>
      <c r="F96" s="42"/>
      <c r="G96" s="42"/>
      <c r="H96" s="40"/>
      <c r="I96" s="42">
        <v>423</v>
      </c>
      <c r="J96" s="42"/>
      <c r="K96" s="40">
        <f>H96+I96+J96</f>
        <v>423</v>
      </c>
      <c r="L96" s="42"/>
      <c r="M96" s="42"/>
      <c r="N96" s="40">
        <f t="shared" si="16"/>
        <v>423</v>
      </c>
    </row>
    <row r="97" spans="1:14" ht="12.75" customHeight="1">
      <c r="A97" s="4" t="s">
        <v>80</v>
      </c>
      <c r="B97" s="42"/>
      <c r="C97" s="42">
        <v>3649</v>
      </c>
      <c r="D97" s="42"/>
      <c r="E97" s="42">
        <f>B97+C97</f>
        <v>3649</v>
      </c>
      <c r="F97" s="42"/>
      <c r="G97" s="42"/>
      <c r="H97" s="40">
        <f>E97+F97+G97</f>
        <v>3649</v>
      </c>
      <c r="I97" s="42"/>
      <c r="J97" s="42"/>
      <c r="K97" s="40">
        <f>H97+I97+J97</f>
        <v>3649</v>
      </c>
      <c r="L97" s="42"/>
      <c r="M97" s="42"/>
      <c r="N97" s="40">
        <f t="shared" si="16"/>
        <v>3649</v>
      </c>
    </row>
    <row r="98" spans="1:14" ht="12.75" customHeight="1">
      <c r="A98" s="4" t="s">
        <v>167</v>
      </c>
      <c r="B98" s="42">
        <v>70000</v>
      </c>
      <c r="C98" s="42"/>
      <c r="D98" s="42"/>
      <c r="E98" s="42">
        <f>B98+C98</f>
        <v>70000</v>
      </c>
      <c r="F98" s="42"/>
      <c r="G98" s="42"/>
      <c r="H98" s="40">
        <f>E98+F98+G98</f>
        <v>70000</v>
      </c>
      <c r="I98" s="42"/>
      <c r="J98" s="42"/>
      <c r="K98" s="40">
        <f>H98+I98+J98</f>
        <v>70000</v>
      </c>
      <c r="L98" s="42"/>
      <c r="M98" s="42"/>
      <c r="N98" s="40">
        <f t="shared" si="16"/>
        <v>70000</v>
      </c>
    </row>
    <row r="99" spans="1:14" ht="12.75" customHeight="1">
      <c r="A99" s="6" t="s">
        <v>35</v>
      </c>
      <c r="B99" s="44">
        <f>B101</f>
        <v>0</v>
      </c>
      <c r="C99" s="44">
        <f>C101</f>
        <v>0</v>
      </c>
      <c r="D99" s="44">
        <f>D101</f>
        <v>0</v>
      </c>
      <c r="E99" s="44">
        <f>B99+C99+D99</f>
        <v>0</v>
      </c>
      <c r="F99" s="44">
        <f>F101</f>
        <v>0</v>
      </c>
      <c r="G99" s="44">
        <f>G101</f>
        <v>0</v>
      </c>
      <c r="H99" s="44">
        <f>E99+F99+G99</f>
        <v>0</v>
      </c>
      <c r="I99" s="44">
        <f>I101</f>
        <v>0</v>
      </c>
      <c r="J99" s="44">
        <f>J101</f>
        <v>0</v>
      </c>
      <c r="K99" s="44">
        <f>H99+I99+J99</f>
        <v>0</v>
      </c>
      <c r="L99" s="44">
        <f>L101</f>
        <v>166.5</v>
      </c>
      <c r="M99" s="44">
        <f>M101</f>
        <v>0</v>
      </c>
      <c r="N99" s="44">
        <f t="shared" si="16"/>
        <v>166.5</v>
      </c>
    </row>
    <row r="100" spans="1:14" ht="12.75" customHeight="1">
      <c r="A100" s="3" t="s">
        <v>1</v>
      </c>
      <c r="B100" s="42"/>
      <c r="C100" s="42"/>
      <c r="D100" s="42"/>
      <c r="E100" s="39"/>
      <c r="F100" s="42"/>
      <c r="G100" s="42"/>
      <c r="H100" s="39"/>
      <c r="I100" s="42"/>
      <c r="J100" s="42"/>
      <c r="K100" s="39"/>
      <c r="L100" s="42"/>
      <c r="M100" s="42"/>
      <c r="N100" s="39"/>
    </row>
    <row r="101" spans="1:14" ht="12.75" customHeight="1">
      <c r="A101" s="36" t="s">
        <v>235</v>
      </c>
      <c r="B101" s="46"/>
      <c r="C101" s="46"/>
      <c r="D101" s="46"/>
      <c r="E101" s="46">
        <f>SUM(B101:D101)</f>
        <v>0</v>
      </c>
      <c r="F101" s="46"/>
      <c r="G101" s="46"/>
      <c r="H101" s="46">
        <f>SUM(E101:G101)</f>
        <v>0</v>
      </c>
      <c r="I101" s="46"/>
      <c r="J101" s="46"/>
      <c r="K101" s="46"/>
      <c r="L101" s="46">
        <v>166.5</v>
      </c>
      <c r="M101" s="46"/>
      <c r="N101" s="46">
        <f>SUM(K101:M101)</f>
        <v>166.5</v>
      </c>
    </row>
    <row r="102" spans="1:14" ht="18.75" customHeight="1">
      <c r="A102" s="2" t="s">
        <v>77</v>
      </c>
      <c r="B102" s="39">
        <f>B103+B113</f>
        <v>128214</v>
      </c>
      <c r="C102" s="39">
        <f>C103+C113</f>
        <v>25122.4</v>
      </c>
      <c r="D102" s="39">
        <f>D103+D113</f>
        <v>0</v>
      </c>
      <c r="E102" s="39">
        <f>B102+C102+D102</f>
        <v>153336.4</v>
      </c>
      <c r="F102" s="39">
        <f>F103+F113</f>
        <v>9620</v>
      </c>
      <c r="G102" s="39">
        <f>G103+G113</f>
        <v>22365.5</v>
      </c>
      <c r="H102" s="39">
        <f>E102+F102+G102</f>
        <v>185321.9</v>
      </c>
      <c r="I102" s="39">
        <f>I103+I113</f>
        <v>191.4000000000001</v>
      </c>
      <c r="J102" s="39">
        <f>J103+J113</f>
        <v>-100</v>
      </c>
      <c r="K102" s="39">
        <f>H102+I102+J102</f>
        <v>185413.3</v>
      </c>
      <c r="L102" s="39">
        <f>L103+L113</f>
        <v>10400</v>
      </c>
      <c r="M102" s="39">
        <f>M103+M113</f>
        <v>0</v>
      </c>
      <c r="N102" s="39">
        <f>K102+L102+M102</f>
        <v>195813.3</v>
      </c>
    </row>
    <row r="103" spans="1:14" ht="15" customHeight="1">
      <c r="A103" s="6" t="s">
        <v>34</v>
      </c>
      <c r="B103" s="44">
        <f>SUM(B105:B111)</f>
        <v>88214</v>
      </c>
      <c r="C103" s="44">
        <f>SUM(C105:C111)</f>
        <v>20154.2</v>
      </c>
      <c r="D103" s="44">
        <f>SUM(D105:D111)</f>
        <v>9</v>
      </c>
      <c r="E103" s="44">
        <f>B103+C103+D103</f>
        <v>108377.2</v>
      </c>
      <c r="F103" s="44">
        <f>SUM(F105:F111)</f>
        <v>-150.6</v>
      </c>
      <c r="G103" s="44">
        <f>SUM(G105:G111)</f>
        <v>3649</v>
      </c>
      <c r="H103" s="44">
        <f>E103+F103+G103</f>
        <v>111875.59999999999</v>
      </c>
      <c r="I103" s="44">
        <f>SUM(I105:I111)</f>
        <v>191.4000000000001</v>
      </c>
      <c r="J103" s="44">
        <f>SUM(J105:J111)</f>
        <v>-4415.9</v>
      </c>
      <c r="K103" s="44">
        <f>H103+I103+J103</f>
        <v>107651.09999999999</v>
      </c>
      <c r="L103" s="44">
        <f>SUM(L105:L111)</f>
        <v>-1645.1000000000001</v>
      </c>
      <c r="M103" s="44">
        <f>SUM(M105:M111)</f>
        <v>0</v>
      </c>
      <c r="N103" s="44">
        <f>K103+L103+M103</f>
        <v>106005.99999999999</v>
      </c>
    </row>
    <row r="104" spans="1:14" ht="10.5" customHeight="1">
      <c r="A104" s="3" t="s">
        <v>1</v>
      </c>
      <c r="B104" s="42"/>
      <c r="C104" s="42"/>
      <c r="D104" s="42"/>
      <c r="E104" s="39"/>
      <c r="F104" s="42"/>
      <c r="G104" s="42"/>
      <c r="H104" s="39"/>
      <c r="I104" s="42"/>
      <c r="J104" s="42"/>
      <c r="K104" s="39"/>
      <c r="L104" s="42"/>
      <c r="M104" s="42"/>
      <c r="N104" s="39"/>
    </row>
    <row r="105" spans="1:14" ht="12.75" customHeight="1">
      <c r="A105" s="7" t="s">
        <v>141</v>
      </c>
      <c r="B105" s="47">
        <v>42319</v>
      </c>
      <c r="C105" s="47">
        <v>4019.8</v>
      </c>
      <c r="D105" s="47"/>
      <c r="E105" s="42">
        <f>B105+C105</f>
        <v>46338.8</v>
      </c>
      <c r="F105" s="47"/>
      <c r="G105" s="47"/>
      <c r="H105" s="40">
        <f>E105+F105+G105</f>
        <v>46338.8</v>
      </c>
      <c r="I105" s="47"/>
      <c r="J105" s="47"/>
      <c r="K105" s="40">
        <f aca="true" t="shared" si="17" ref="K105:K113">H105+I105+J105</f>
        <v>46338.8</v>
      </c>
      <c r="L105" s="47">
        <v>-244.3</v>
      </c>
      <c r="M105" s="47"/>
      <c r="N105" s="40">
        <f aca="true" t="shared" si="18" ref="N105:N113">K105+L105+M105</f>
        <v>46094.5</v>
      </c>
    </row>
    <row r="106" spans="1:14" ht="12.75" customHeight="1">
      <c r="A106" s="4" t="s">
        <v>9</v>
      </c>
      <c r="B106" s="42">
        <v>45895</v>
      </c>
      <c r="C106" s="42">
        <f>45.2+400-476</f>
        <v>-30.80000000000001</v>
      </c>
      <c r="D106" s="42"/>
      <c r="E106" s="42">
        <f>SUM(B106:D106)</f>
        <v>45864.2</v>
      </c>
      <c r="F106" s="42">
        <f>-280-100</f>
        <v>-380</v>
      </c>
      <c r="G106" s="42">
        <f>-1273+492</f>
        <v>-781</v>
      </c>
      <c r="H106" s="40">
        <f>E106+F106+G106</f>
        <v>44703.2</v>
      </c>
      <c r="I106" s="42">
        <f>-1000-100</f>
        <v>-1100</v>
      </c>
      <c r="J106" s="42">
        <v>880.2</v>
      </c>
      <c r="K106" s="40">
        <f t="shared" si="17"/>
        <v>44483.399999999994</v>
      </c>
      <c r="L106" s="42">
        <f>-1824+244.3-975.1+100-210.1</f>
        <v>-2664.9</v>
      </c>
      <c r="M106" s="42"/>
      <c r="N106" s="40">
        <f t="shared" si="18"/>
        <v>41818.49999999999</v>
      </c>
    </row>
    <row r="107" spans="1:14" ht="12.75" customHeight="1">
      <c r="A107" s="4" t="s">
        <v>142</v>
      </c>
      <c r="B107" s="42"/>
      <c r="C107" s="42">
        <v>13600</v>
      </c>
      <c r="D107" s="42"/>
      <c r="E107" s="42">
        <f>SUM(B107:D107)</f>
        <v>13600</v>
      </c>
      <c r="F107" s="42"/>
      <c r="G107" s="42">
        <v>73</v>
      </c>
      <c r="H107" s="40">
        <f>E107+F107+G107</f>
        <v>13673</v>
      </c>
      <c r="I107" s="42"/>
      <c r="J107" s="42">
        <v>-5315.2</v>
      </c>
      <c r="K107" s="40">
        <f t="shared" si="17"/>
        <v>8357.8</v>
      </c>
      <c r="L107" s="42">
        <f>975.1+210.1</f>
        <v>1185.2</v>
      </c>
      <c r="M107" s="42"/>
      <c r="N107" s="40">
        <f t="shared" si="18"/>
        <v>9543</v>
      </c>
    </row>
    <row r="108" spans="1:14" ht="12.75" customHeight="1">
      <c r="A108" s="4" t="s">
        <v>172</v>
      </c>
      <c r="B108" s="42"/>
      <c r="C108" s="42">
        <v>2300</v>
      </c>
      <c r="D108" s="42"/>
      <c r="E108" s="42">
        <f>SUM(B108:D108)</f>
        <v>2300</v>
      </c>
      <c r="F108" s="42"/>
      <c r="G108" s="42"/>
      <c r="H108" s="40">
        <f>E108+F108+G108</f>
        <v>2300</v>
      </c>
      <c r="I108" s="42"/>
      <c r="J108" s="42"/>
      <c r="K108" s="40">
        <f t="shared" si="17"/>
        <v>2300</v>
      </c>
      <c r="L108" s="42"/>
      <c r="M108" s="42"/>
      <c r="N108" s="40">
        <f t="shared" si="18"/>
        <v>2300</v>
      </c>
    </row>
    <row r="109" spans="1:14" ht="12.75" customHeight="1">
      <c r="A109" s="4" t="s">
        <v>223</v>
      </c>
      <c r="B109" s="42"/>
      <c r="C109" s="42"/>
      <c r="D109" s="42"/>
      <c r="E109" s="42"/>
      <c r="F109" s="42"/>
      <c r="G109" s="42"/>
      <c r="H109" s="40"/>
      <c r="I109" s="42">
        <f>828.8+462.6</f>
        <v>1291.4</v>
      </c>
      <c r="J109" s="42"/>
      <c r="K109" s="40">
        <f t="shared" si="17"/>
        <v>1291.4</v>
      </c>
      <c r="L109" s="42"/>
      <c r="M109" s="42"/>
      <c r="N109" s="40">
        <f t="shared" si="18"/>
        <v>1291.4</v>
      </c>
    </row>
    <row r="110" spans="1:14" ht="12.75" customHeight="1">
      <c r="A110" s="4" t="s">
        <v>44</v>
      </c>
      <c r="B110" s="42"/>
      <c r="C110" s="42"/>
      <c r="D110" s="42"/>
      <c r="E110" s="42"/>
      <c r="F110" s="42"/>
      <c r="G110" s="42">
        <v>4157</v>
      </c>
      <c r="H110" s="40">
        <f>E110+F110+G110</f>
        <v>4157</v>
      </c>
      <c r="I110" s="42"/>
      <c r="J110" s="42"/>
      <c r="K110" s="40">
        <f t="shared" si="17"/>
        <v>4157</v>
      </c>
      <c r="L110" s="42"/>
      <c r="M110" s="42"/>
      <c r="N110" s="40">
        <f t="shared" si="18"/>
        <v>4157</v>
      </c>
    </row>
    <row r="111" spans="1:14" ht="12.75" customHeight="1">
      <c r="A111" s="8" t="s">
        <v>54</v>
      </c>
      <c r="B111" s="40"/>
      <c r="C111" s="40">
        <v>265.2</v>
      </c>
      <c r="D111" s="40">
        <v>9</v>
      </c>
      <c r="E111" s="42">
        <f>SUM(B111:D111)</f>
        <v>274.2</v>
      </c>
      <c r="F111" s="40">
        <v>229.4</v>
      </c>
      <c r="G111" s="40">
        <v>200</v>
      </c>
      <c r="H111" s="40">
        <f>E111+F111+G111</f>
        <v>703.6</v>
      </c>
      <c r="I111" s="40"/>
      <c r="J111" s="40">
        <v>19.1</v>
      </c>
      <c r="K111" s="40">
        <f t="shared" si="17"/>
        <v>722.7</v>
      </c>
      <c r="L111" s="40">
        <v>78.9</v>
      </c>
      <c r="M111" s="40"/>
      <c r="N111" s="40">
        <f t="shared" si="18"/>
        <v>801.6</v>
      </c>
    </row>
    <row r="112" spans="1:14" ht="12.75" customHeight="1">
      <c r="A112" s="8" t="s">
        <v>143</v>
      </c>
      <c r="B112" s="40"/>
      <c r="C112" s="40">
        <v>265.2</v>
      </c>
      <c r="D112" s="40">
        <v>9</v>
      </c>
      <c r="E112" s="42">
        <f>SUM(B112:D112)</f>
        <v>274.2</v>
      </c>
      <c r="F112" s="40">
        <v>229.4</v>
      </c>
      <c r="G112" s="40">
        <v>200</v>
      </c>
      <c r="H112" s="40">
        <f>E112+F112+G112</f>
        <v>703.6</v>
      </c>
      <c r="I112" s="40"/>
      <c r="J112" s="40">
        <v>19.1</v>
      </c>
      <c r="K112" s="40">
        <f t="shared" si="17"/>
        <v>722.7</v>
      </c>
      <c r="L112" s="40">
        <v>78.9</v>
      </c>
      <c r="M112" s="40"/>
      <c r="N112" s="40">
        <f t="shared" si="18"/>
        <v>801.6</v>
      </c>
    </row>
    <row r="113" spans="1:14" ht="15" customHeight="1">
      <c r="A113" s="13" t="s">
        <v>35</v>
      </c>
      <c r="B113" s="45">
        <f>SUM(B115:B119)</f>
        <v>40000</v>
      </c>
      <c r="C113" s="45">
        <f>SUM(C115:C119)</f>
        <v>4968.2</v>
      </c>
      <c r="D113" s="45">
        <f>SUM(D115:D119)</f>
        <v>-9</v>
      </c>
      <c r="E113" s="45">
        <f>B113+C113+D113</f>
        <v>44959.2</v>
      </c>
      <c r="F113" s="45">
        <f>SUM(F115:F119)</f>
        <v>9770.6</v>
      </c>
      <c r="G113" s="45">
        <f>SUM(G115:G119)</f>
        <v>18716.5</v>
      </c>
      <c r="H113" s="45">
        <f>E113+F113+G113</f>
        <v>73446.29999999999</v>
      </c>
      <c r="I113" s="45">
        <f>SUM(I115:I119)</f>
        <v>0</v>
      </c>
      <c r="J113" s="45">
        <f>SUM(J115:J119)</f>
        <v>4315.9</v>
      </c>
      <c r="K113" s="45">
        <f t="shared" si="17"/>
        <v>77762.19999999998</v>
      </c>
      <c r="L113" s="45">
        <f>SUM(L115:L119)</f>
        <v>12045.1</v>
      </c>
      <c r="M113" s="45">
        <f>SUM(M115:M119)</f>
        <v>0</v>
      </c>
      <c r="N113" s="45">
        <f t="shared" si="18"/>
        <v>89807.29999999999</v>
      </c>
    </row>
    <row r="114" spans="1:14" ht="10.5" customHeight="1">
      <c r="A114" s="10" t="s">
        <v>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</row>
    <row r="115" spans="1:14" ht="12.75" customHeight="1">
      <c r="A115" s="8" t="s">
        <v>173</v>
      </c>
      <c r="B115" s="40"/>
      <c r="C115" s="40">
        <v>5233.4</v>
      </c>
      <c r="D115" s="40"/>
      <c r="E115" s="42">
        <f>SUM(B115:D115)</f>
        <v>5233.4</v>
      </c>
      <c r="F115" s="40"/>
      <c r="G115" s="40"/>
      <c r="H115" s="42">
        <f>SUM(E115:G115)</f>
        <v>5233.4</v>
      </c>
      <c r="I115" s="40"/>
      <c r="J115" s="40"/>
      <c r="K115" s="42">
        <f>SUM(H115:J115)</f>
        <v>5233.4</v>
      </c>
      <c r="L115" s="40"/>
      <c r="M115" s="40"/>
      <c r="N115" s="42">
        <f>SUM(K115:M115)</f>
        <v>5233.4</v>
      </c>
    </row>
    <row r="116" spans="1:14" ht="12.75" customHeight="1">
      <c r="A116" s="8" t="s">
        <v>151</v>
      </c>
      <c r="B116" s="40"/>
      <c r="C116" s="40"/>
      <c r="D116" s="40"/>
      <c r="E116" s="42"/>
      <c r="F116" s="40">
        <v>10000</v>
      </c>
      <c r="G116" s="40"/>
      <c r="H116" s="42">
        <f>SUM(E116:G116)</f>
        <v>10000</v>
      </c>
      <c r="I116" s="40"/>
      <c r="J116" s="40">
        <v>2335</v>
      </c>
      <c r="K116" s="42">
        <f>SUM(H116:J116)</f>
        <v>12335</v>
      </c>
      <c r="L116" s="40">
        <f>11100+1024</f>
        <v>12124</v>
      </c>
      <c r="M116" s="40"/>
      <c r="N116" s="42">
        <f>SUM(K116:M116)</f>
        <v>24459</v>
      </c>
    </row>
    <row r="117" spans="1:14" ht="12.75" customHeight="1">
      <c r="A117" s="8" t="s">
        <v>41</v>
      </c>
      <c r="B117" s="40"/>
      <c r="C117" s="40"/>
      <c r="D117" s="40"/>
      <c r="E117" s="42"/>
      <c r="F117" s="40"/>
      <c r="G117" s="40">
        <v>1200</v>
      </c>
      <c r="H117" s="40">
        <f>E117+F117+G117</f>
        <v>1200</v>
      </c>
      <c r="I117" s="40"/>
      <c r="J117" s="40">
        <v>2000</v>
      </c>
      <c r="K117" s="40">
        <f>H117+I117+J117</f>
        <v>3200</v>
      </c>
      <c r="L117" s="40"/>
      <c r="M117" s="40"/>
      <c r="N117" s="40">
        <f>K117+L117+M117</f>
        <v>3200</v>
      </c>
    </row>
    <row r="118" spans="1:14" ht="12.75" customHeight="1">
      <c r="A118" s="4" t="s">
        <v>44</v>
      </c>
      <c r="B118" s="40"/>
      <c r="C118" s="40"/>
      <c r="D118" s="40"/>
      <c r="E118" s="42"/>
      <c r="F118" s="40"/>
      <c r="G118" s="40">
        <v>3343</v>
      </c>
      <c r="H118" s="40">
        <f>E118+F118+G118</f>
        <v>3343</v>
      </c>
      <c r="I118" s="40"/>
      <c r="J118" s="40"/>
      <c r="K118" s="40">
        <f>H118+I118+J118</f>
        <v>3343</v>
      </c>
      <c r="L118" s="40"/>
      <c r="M118" s="40"/>
      <c r="N118" s="40">
        <f>K118+L118+M118</f>
        <v>3343</v>
      </c>
    </row>
    <row r="119" spans="1:14" ht="12.75" customHeight="1">
      <c r="A119" s="8" t="s">
        <v>54</v>
      </c>
      <c r="B119" s="40">
        <v>40000</v>
      </c>
      <c r="C119" s="40">
        <v>-265.2</v>
      </c>
      <c r="D119" s="40">
        <v>-9</v>
      </c>
      <c r="E119" s="42">
        <f>SUM(B119:D119)</f>
        <v>39725.8</v>
      </c>
      <c r="F119" s="40">
        <v>-229.4</v>
      </c>
      <c r="G119" s="40">
        <f>-200+14373.5</f>
        <v>14173.5</v>
      </c>
      <c r="H119" s="42">
        <f>SUM(E119:G119)</f>
        <v>53669.9</v>
      </c>
      <c r="I119" s="40"/>
      <c r="J119" s="40">
        <v>-19.1</v>
      </c>
      <c r="K119" s="42">
        <f>SUM(H119:J119)</f>
        <v>53650.8</v>
      </c>
      <c r="L119" s="40">
        <v>-78.9</v>
      </c>
      <c r="M119" s="40"/>
      <c r="N119" s="42">
        <f>SUM(K119:M119)</f>
        <v>53571.9</v>
      </c>
    </row>
    <row r="120" spans="1:14" ht="12.75" customHeight="1">
      <c r="A120" s="67" t="s">
        <v>144</v>
      </c>
      <c r="B120" s="48"/>
      <c r="C120" s="48"/>
      <c r="D120" s="48"/>
      <c r="E120" s="46">
        <f>SUM(B120:D120)</f>
        <v>0</v>
      </c>
      <c r="F120" s="48">
        <f>11015+8537</f>
        <v>19552</v>
      </c>
      <c r="G120" s="48"/>
      <c r="H120" s="46">
        <f>SUM(E120:G120)</f>
        <v>19552</v>
      </c>
      <c r="I120" s="48"/>
      <c r="J120" s="48">
        <v>10194</v>
      </c>
      <c r="K120" s="46">
        <f>SUM(H120:J120)</f>
        <v>29746</v>
      </c>
      <c r="L120" s="48"/>
      <c r="M120" s="48"/>
      <c r="N120" s="46">
        <f>SUM(K120:M120)</f>
        <v>29746</v>
      </c>
    </row>
    <row r="121" spans="1:14" ht="18.75" customHeight="1">
      <c r="A121" s="12" t="s">
        <v>179</v>
      </c>
      <c r="B121" s="41">
        <f aca="true" t="shared" si="19" ref="B121:N121">B122+B128</f>
        <v>3670</v>
      </c>
      <c r="C121" s="41">
        <f t="shared" si="19"/>
        <v>2671</v>
      </c>
      <c r="D121" s="41">
        <f t="shared" si="19"/>
        <v>13530</v>
      </c>
      <c r="E121" s="41">
        <f t="shared" si="19"/>
        <v>19871</v>
      </c>
      <c r="F121" s="41">
        <f t="shared" si="19"/>
        <v>0</v>
      </c>
      <c r="G121" s="41">
        <f t="shared" si="19"/>
        <v>0</v>
      </c>
      <c r="H121" s="41">
        <f t="shared" si="19"/>
        <v>19871</v>
      </c>
      <c r="I121" s="41">
        <f t="shared" si="19"/>
        <v>0</v>
      </c>
      <c r="J121" s="41">
        <f t="shared" si="19"/>
        <v>0</v>
      </c>
      <c r="K121" s="41">
        <f t="shared" si="19"/>
        <v>19871</v>
      </c>
      <c r="L121" s="41">
        <f t="shared" si="19"/>
        <v>0</v>
      </c>
      <c r="M121" s="41">
        <f t="shared" si="19"/>
        <v>0</v>
      </c>
      <c r="N121" s="41">
        <f t="shared" si="19"/>
        <v>19871</v>
      </c>
    </row>
    <row r="122" spans="1:14" ht="15" customHeight="1">
      <c r="A122" s="6" t="s">
        <v>34</v>
      </c>
      <c r="B122" s="44">
        <f>SUM(B124:B127)</f>
        <v>3670</v>
      </c>
      <c r="C122" s="44">
        <f>SUM(C124:C127)</f>
        <v>2671</v>
      </c>
      <c r="D122" s="44">
        <f>SUM(D124:D127)</f>
        <v>10322</v>
      </c>
      <c r="E122" s="44">
        <f>B122+C122+D122</f>
        <v>16663</v>
      </c>
      <c r="F122" s="44">
        <f>SUM(F124:F127)</f>
        <v>0</v>
      </c>
      <c r="G122" s="44">
        <f>SUM(G124:G127)</f>
        <v>0</v>
      </c>
      <c r="H122" s="44">
        <f>E122+F122+G122</f>
        <v>16663</v>
      </c>
      <c r="I122" s="44">
        <f>SUM(I124:I127)</f>
        <v>0</v>
      </c>
      <c r="J122" s="44">
        <f>SUM(J124:J127)</f>
        <v>0</v>
      </c>
      <c r="K122" s="44">
        <f>H122+I122+J122</f>
        <v>16663</v>
      </c>
      <c r="L122" s="44">
        <f>SUM(L124:L127)</f>
        <v>-120</v>
      </c>
      <c r="M122" s="44">
        <f>SUM(M124:M127)</f>
        <v>0</v>
      </c>
      <c r="N122" s="44">
        <f>K122+L122+M122</f>
        <v>16543</v>
      </c>
    </row>
    <row r="123" spans="1:14" ht="9.75" customHeight="1">
      <c r="A123" s="3" t="s">
        <v>1</v>
      </c>
      <c r="B123" s="42"/>
      <c r="C123" s="42"/>
      <c r="D123" s="42"/>
      <c r="E123" s="39"/>
      <c r="F123" s="42"/>
      <c r="G123" s="42"/>
      <c r="H123" s="39"/>
      <c r="I123" s="42"/>
      <c r="J123" s="42"/>
      <c r="K123" s="39"/>
      <c r="L123" s="42"/>
      <c r="M123" s="42"/>
      <c r="N123" s="39"/>
    </row>
    <row r="124" spans="1:14" ht="12.75" customHeight="1">
      <c r="A124" s="4" t="s">
        <v>9</v>
      </c>
      <c r="B124" s="42">
        <v>3670</v>
      </c>
      <c r="C124" s="42">
        <f>-1900+1100</f>
        <v>-800</v>
      </c>
      <c r="D124" s="42"/>
      <c r="E124" s="42">
        <f>SUM(B124:D124)</f>
        <v>2870</v>
      </c>
      <c r="F124" s="42"/>
      <c r="G124" s="42"/>
      <c r="H124" s="42">
        <f>SUM(E124:G124)</f>
        <v>2870</v>
      </c>
      <c r="I124" s="42"/>
      <c r="J124" s="42"/>
      <c r="K124" s="42">
        <f>SUM(H124:J124)</f>
        <v>2870</v>
      </c>
      <c r="L124" s="42"/>
      <c r="M124" s="42"/>
      <c r="N124" s="42">
        <f>SUM(K124:M124)</f>
        <v>2870</v>
      </c>
    </row>
    <row r="125" spans="1:14" ht="12.75" customHeight="1">
      <c r="A125" s="5" t="s">
        <v>33</v>
      </c>
      <c r="B125" s="42"/>
      <c r="C125" s="42">
        <f>1571</f>
        <v>1571</v>
      </c>
      <c r="D125" s="42"/>
      <c r="E125" s="42">
        <f>SUM(B125:D125)</f>
        <v>1571</v>
      </c>
      <c r="F125" s="42"/>
      <c r="G125" s="42"/>
      <c r="H125" s="42">
        <f>SUM(E125:G125)</f>
        <v>1571</v>
      </c>
      <c r="I125" s="42"/>
      <c r="J125" s="42"/>
      <c r="K125" s="42">
        <f>SUM(H125:J125)</f>
        <v>1571</v>
      </c>
      <c r="L125" s="42"/>
      <c r="M125" s="42"/>
      <c r="N125" s="42">
        <f>SUM(K125:M125)</f>
        <v>1571</v>
      </c>
    </row>
    <row r="126" spans="1:14" ht="12.75" customHeight="1">
      <c r="A126" s="4" t="s">
        <v>142</v>
      </c>
      <c r="B126" s="42"/>
      <c r="C126" s="42">
        <v>1900</v>
      </c>
      <c r="D126" s="42"/>
      <c r="E126" s="42">
        <f>SUM(B126:D126)</f>
        <v>1900</v>
      </c>
      <c r="F126" s="42"/>
      <c r="G126" s="42"/>
      <c r="H126" s="42">
        <f>SUM(E126:G126)</f>
        <v>1900</v>
      </c>
      <c r="I126" s="42"/>
      <c r="J126" s="42"/>
      <c r="K126" s="42">
        <f>SUM(H126:J126)</f>
        <v>1900</v>
      </c>
      <c r="L126" s="42"/>
      <c r="M126" s="42"/>
      <c r="N126" s="42">
        <f>SUM(K126:M126)</f>
        <v>1900</v>
      </c>
    </row>
    <row r="127" spans="1:14" ht="12.75" customHeight="1">
      <c r="A127" s="4" t="s">
        <v>44</v>
      </c>
      <c r="B127" s="42"/>
      <c r="C127" s="42"/>
      <c r="D127" s="42">
        <v>10322</v>
      </c>
      <c r="E127" s="42">
        <f>SUM(B127:D127)</f>
        <v>10322</v>
      </c>
      <c r="F127" s="42"/>
      <c r="G127" s="42"/>
      <c r="H127" s="42">
        <f>SUM(E127:G127)</f>
        <v>10322</v>
      </c>
      <c r="I127" s="42"/>
      <c r="J127" s="42"/>
      <c r="K127" s="42">
        <f>SUM(H127:J127)</f>
        <v>10322</v>
      </c>
      <c r="L127" s="42">
        <v>-120</v>
      </c>
      <c r="M127" s="42"/>
      <c r="N127" s="42">
        <f>SUM(K127:M127)</f>
        <v>10202</v>
      </c>
    </row>
    <row r="128" spans="1:14" ht="12.75" customHeight="1">
      <c r="A128" s="6" t="s">
        <v>35</v>
      </c>
      <c r="B128" s="44">
        <f>B130</f>
        <v>0</v>
      </c>
      <c r="C128" s="44">
        <f>C130</f>
        <v>0</v>
      </c>
      <c r="D128" s="44">
        <f>D130</f>
        <v>3208</v>
      </c>
      <c r="E128" s="44">
        <f>B128+C128+D128</f>
        <v>3208</v>
      </c>
      <c r="F128" s="44">
        <f>F130</f>
        <v>0</v>
      </c>
      <c r="G128" s="44">
        <f>G130</f>
        <v>0</v>
      </c>
      <c r="H128" s="44">
        <f>E128+F128+G128</f>
        <v>3208</v>
      </c>
      <c r="I128" s="44">
        <f>I130</f>
        <v>0</v>
      </c>
      <c r="J128" s="44">
        <f>J130</f>
        <v>0</v>
      </c>
      <c r="K128" s="44">
        <f>H128+I128+J128</f>
        <v>3208</v>
      </c>
      <c r="L128" s="44">
        <f>L130</f>
        <v>120</v>
      </c>
      <c r="M128" s="44">
        <f>M130</f>
        <v>0</v>
      </c>
      <c r="N128" s="44">
        <f>K128+L128+M128</f>
        <v>3328</v>
      </c>
    </row>
    <row r="129" spans="1:14" ht="12.75" customHeight="1">
      <c r="A129" s="3" t="s">
        <v>1</v>
      </c>
      <c r="B129" s="42"/>
      <c r="C129" s="42"/>
      <c r="D129" s="42"/>
      <c r="E129" s="39"/>
      <c r="F129" s="42"/>
      <c r="G129" s="42"/>
      <c r="H129" s="39"/>
      <c r="I129" s="42"/>
      <c r="J129" s="42"/>
      <c r="K129" s="39"/>
      <c r="L129" s="42"/>
      <c r="M129" s="42"/>
      <c r="N129" s="39"/>
    </row>
    <row r="130" spans="1:14" ht="12.75" customHeight="1">
      <c r="A130" s="36" t="s">
        <v>44</v>
      </c>
      <c r="B130" s="46"/>
      <c r="C130" s="46"/>
      <c r="D130" s="46">
        <v>3208</v>
      </c>
      <c r="E130" s="46">
        <f>SUM(B130:D130)</f>
        <v>3208</v>
      </c>
      <c r="F130" s="46"/>
      <c r="G130" s="46"/>
      <c r="H130" s="46">
        <f>SUM(E130:G130)</f>
        <v>3208</v>
      </c>
      <c r="I130" s="46"/>
      <c r="J130" s="46"/>
      <c r="K130" s="46">
        <f>SUM(H130:J130)</f>
        <v>3208</v>
      </c>
      <c r="L130" s="46">
        <v>120</v>
      </c>
      <c r="M130" s="46"/>
      <c r="N130" s="46">
        <f>SUM(K130:M130)</f>
        <v>3328</v>
      </c>
    </row>
    <row r="131" spans="1:14" ht="18.75" customHeight="1">
      <c r="A131" s="2" t="s">
        <v>16</v>
      </c>
      <c r="B131" s="39">
        <f>B132+B143</f>
        <v>942417</v>
      </c>
      <c r="C131" s="39">
        <f>C132+C143</f>
        <v>21000</v>
      </c>
      <c r="D131" s="39">
        <f>D132+D143</f>
        <v>1000</v>
      </c>
      <c r="E131" s="39">
        <f>B131+C131+D131</f>
        <v>964417</v>
      </c>
      <c r="F131" s="39">
        <f>F132+F143</f>
        <v>6100</v>
      </c>
      <c r="G131" s="39">
        <f>G132+G143</f>
        <v>54500</v>
      </c>
      <c r="H131" s="39">
        <f>E131+F131+G131</f>
        <v>1025017</v>
      </c>
      <c r="I131" s="39">
        <f>I132+I143</f>
        <v>0</v>
      </c>
      <c r="J131" s="39">
        <f>J132+J143</f>
        <v>0</v>
      </c>
      <c r="K131" s="39">
        <f>H131+I131+J131</f>
        <v>1025017</v>
      </c>
      <c r="L131" s="39">
        <f>L132+L143</f>
        <v>15571.8</v>
      </c>
      <c r="M131" s="39">
        <f>M132+M143</f>
        <v>0</v>
      </c>
      <c r="N131" s="39">
        <f>K131+L131+M131</f>
        <v>1040588.8</v>
      </c>
    </row>
    <row r="132" spans="1:14" ht="12.75" customHeight="1">
      <c r="A132" s="6" t="s">
        <v>34</v>
      </c>
      <c r="B132" s="44">
        <f>SUM(B135:B142)</f>
        <v>942417</v>
      </c>
      <c r="C132" s="44">
        <f>SUM(C135:C142)</f>
        <v>21000</v>
      </c>
      <c r="D132" s="44">
        <f>SUM(D135:D142)</f>
        <v>0</v>
      </c>
      <c r="E132" s="44">
        <f>B132+C132+D132</f>
        <v>963417</v>
      </c>
      <c r="F132" s="44">
        <f>SUM(F135:F142)</f>
        <v>0</v>
      </c>
      <c r="G132" s="44">
        <f>SUM(G135:G142)</f>
        <v>54500</v>
      </c>
      <c r="H132" s="44">
        <f>E132+F132+G132</f>
        <v>1017917</v>
      </c>
      <c r="I132" s="44">
        <f>SUM(I135:I142)</f>
        <v>0</v>
      </c>
      <c r="J132" s="44">
        <f>SUM(J135:J142)</f>
        <v>0</v>
      </c>
      <c r="K132" s="44">
        <f>H132+I132+J132</f>
        <v>1017917</v>
      </c>
      <c r="L132" s="44">
        <f>SUM(L135:L142)</f>
        <v>18671.8</v>
      </c>
      <c r="M132" s="44">
        <f>SUM(M135:M142)</f>
        <v>0</v>
      </c>
      <c r="N132" s="44">
        <f>K132+L132+M132</f>
        <v>1036588.8</v>
      </c>
    </row>
    <row r="133" spans="1:14" ht="10.5" customHeight="1">
      <c r="A133" s="3" t="s">
        <v>1</v>
      </c>
      <c r="B133" s="42"/>
      <c r="C133" s="42"/>
      <c r="D133" s="42"/>
      <c r="E133" s="39"/>
      <c r="F133" s="42"/>
      <c r="G133" s="42"/>
      <c r="H133" s="39"/>
      <c r="I133" s="42"/>
      <c r="J133" s="42"/>
      <c r="K133" s="39"/>
      <c r="L133" s="42"/>
      <c r="M133" s="42"/>
      <c r="N133" s="39"/>
    </row>
    <row r="134" spans="1:14" ht="12.75" customHeight="1">
      <c r="A134" s="5" t="s">
        <v>37</v>
      </c>
      <c r="B134" s="42"/>
      <c r="C134" s="42"/>
      <c r="D134" s="42"/>
      <c r="E134" s="39"/>
      <c r="F134" s="42"/>
      <c r="G134" s="42"/>
      <c r="H134" s="39"/>
      <c r="I134" s="42"/>
      <c r="J134" s="42"/>
      <c r="K134" s="39"/>
      <c r="L134" s="42"/>
      <c r="M134" s="42"/>
      <c r="N134" s="39"/>
    </row>
    <row r="135" spans="1:14" ht="12.75" customHeight="1">
      <c r="A135" s="5" t="s">
        <v>38</v>
      </c>
      <c r="B135" s="42">
        <v>202696</v>
      </c>
      <c r="C135" s="42"/>
      <c r="D135" s="42"/>
      <c r="E135" s="42">
        <f aca="true" t="shared" si="20" ref="E135:E140">B135+C135+D135</f>
        <v>202696</v>
      </c>
      <c r="F135" s="42"/>
      <c r="G135" s="42">
        <v>33000</v>
      </c>
      <c r="H135" s="42">
        <f aca="true" t="shared" si="21" ref="H135:H143">E135+F135+G135</f>
        <v>235696</v>
      </c>
      <c r="I135" s="42"/>
      <c r="J135" s="42"/>
      <c r="K135" s="42">
        <f aca="true" t="shared" si="22" ref="K135:K143">H135+I135+J135</f>
        <v>235696</v>
      </c>
      <c r="L135" s="42">
        <v>1671.8</v>
      </c>
      <c r="M135" s="42"/>
      <c r="N135" s="42">
        <f aca="true" t="shared" si="23" ref="N135:N143">K135+L135+M135</f>
        <v>237367.8</v>
      </c>
    </row>
    <row r="136" spans="1:14" ht="12.75" customHeight="1">
      <c r="A136" s="4" t="s">
        <v>39</v>
      </c>
      <c r="B136" s="42">
        <v>297535</v>
      </c>
      <c r="C136" s="42"/>
      <c r="D136" s="42"/>
      <c r="E136" s="42">
        <f t="shared" si="20"/>
        <v>297535</v>
      </c>
      <c r="F136" s="42"/>
      <c r="G136" s="42">
        <v>21000</v>
      </c>
      <c r="H136" s="42">
        <f t="shared" si="21"/>
        <v>318535</v>
      </c>
      <c r="I136" s="42"/>
      <c r="J136" s="42"/>
      <c r="K136" s="42">
        <f t="shared" si="22"/>
        <v>318535</v>
      </c>
      <c r="L136" s="42"/>
      <c r="M136" s="42"/>
      <c r="N136" s="42">
        <f t="shared" si="23"/>
        <v>318535</v>
      </c>
    </row>
    <row r="137" spans="1:14" ht="12.75" customHeight="1">
      <c r="A137" s="7" t="s">
        <v>18</v>
      </c>
      <c r="B137" s="47">
        <v>366000</v>
      </c>
      <c r="C137" s="47">
        <f>21000-100000</f>
        <v>-79000</v>
      </c>
      <c r="D137" s="47">
        <v>-150000</v>
      </c>
      <c r="E137" s="42">
        <f t="shared" si="20"/>
        <v>137000</v>
      </c>
      <c r="F137" s="47"/>
      <c r="G137" s="47"/>
      <c r="H137" s="42">
        <f t="shared" si="21"/>
        <v>137000</v>
      </c>
      <c r="I137" s="47">
        <v>-30000</v>
      </c>
      <c r="J137" s="47"/>
      <c r="K137" s="42">
        <f t="shared" si="22"/>
        <v>107000</v>
      </c>
      <c r="L137" s="47"/>
      <c r="M137" s="47"/>
      <c r="N137" s="42">
        <f t="shared" si="23"/>
        <v>107000</v>
      </c>
    </row>
    <row r="138" spans="1:14" ht="12.75" customHeight="1">
      <c r="A138" s="4" t="s">
        <v>145</v>
      </c>
      <c r="B138" s="42">
        <v>3000</v>
      </c>
      <c r="C138" s="42"/>
      <c r="D138" s="42"/>
      <c r="E138" s="42">
        <f t="shared" si="20"/>
        <v>3000</v>
      </c>
      <c r="F138" s="42"/>
      <c r="G138" s="42"/>
      <c r="H138" s="42">
        <f t="shared" si="21"/>
        <v>3000</v>
      </c>
      <c r="I138" s="42"/>
      <c r="J138" s="42"/>
      <c r="K138" s="42">
        <f t="shared" si="22"/>
        <v>3000</v>
      </c>
      <c r="L138" s="42"/>
      <c r="M138" s="42"/>
      <c r="N138" s="42">
        <f t="shared" si="23"/>
        <v>3000</v>
      </c>
    </row>
    <row r="139" spans="1:14" ht="12.75" customHeight="1">
      <c r="A139" s="4" t="s">
        <v>180</v>
      </c>
      <c r="B139" s="42"/>
      <c r="C139" s="42"/>
      <c r="D139" s="42">
        <v>50000</v>
      </c>
      <c r="E139" s="42">
        <f t="shared" si="20"/>
        <v>50000</v>
      </c>
      <c r="F139" s="42"/>
      <c r="G139" s="42"/>
      <c r="H139" s="42">
        <f t="shared" si="21"/>
        <v>50000</v>
      </c>
      <c r="I139" s="42"/>
      <c r="J139" s="42"/>
      <c r="K139" s="42">
        <f t="shared" si="22"/>
        <v>50000</v>
      </c>
      <c r="L139" s="42"/>
      <c r="M139" s="42"/>
      <c r="N139" s="42">
        <f t="shared" si="23"/>
        <v>50000</v>
      </c>
    </row>
    <row r="140" spans="1:14" ht="12.75" customHeight="1">
      <c r="A140" s="4" t="s">
        <v>119</v>
      </c>
      <c r="B140" s="42">
        <v>67796</v>
      </c>
      <c r="C140" s="42"/>
      <c r="D140" s="42"/>
      <c r="E140" s="42">
        <f t="shared" si="20"/>
        <v>67796</v>
      </c>
      <c r="F140" s="42"/>
      <c r="G140" s="42"/>
      <c r="H140" s="42">
        <f t="shared" si="21"/>
        <v>67796</v>
      </c>
      <c r="I140" s="42"/>
      <c r="J140" s="42"/>
      <c r="K140" s="42">
        <f t="shared" si="22"/>
        <v>67796</v>
      </c>
      <c r="L140" s="42"/>
      <c r="M140" s="42"/>
      <c r="N140" s="42">
        <f t="shared" si="23"/>
        <v>67796</v>
      </c>
    </row>
    <row r="141" spans="1:14" ht="12.75" customHeight="1">
      <c r="A141" s="4" t="s">
        <v>142</v>
      </c>
      <c r="B141" s="42"/>
      <c r="C141" s="42"/>
      <c r="D141" s="42"/>
      <c r="E141" s="42"/>
      <c r="F141" s="42">
        <v>250</v>
      </c>
      <c r="G141" s="42"/>
      <c r="H141" s="42">
        <f t="shared" si="21"/>
        <v>250</v>
      </c>
      <c r="I141" s="42"/>
      <c r="J141" s="42"/>
      <c r="K141" s="42">
        <f t="shared" si="22"/>
        <v>250</v>
      </c>
      <c r="L141" s="42"/>
      <c r="M141" s="42"/>
      <c r="N141" s="42">
        <f t="shared" si="23"/>
        <v>250</v>
      </c>
    </row>
    <row r="142" spans="1:14" ht="12.75" customHeight="1">
      <c r="A142" s="4" t="s">
        <v>9</v>
      </c>
      <c r="B142" s="42">
        <v>5390</v>
      </c>
      <c r="C142" s="42">
        <v>100000</v>
      </c>
      <c r="D142" s="42">
        <v>100000</v>
      </c>
      <c r="E142" s="42">
        <f>B142+C142+D142</f>
        <v>205390</v>
      </c>
      <c r="F142" s="42">
        <f>-250</f>
        <v>-250</v>
      </c>
      <c r="G142" s="42">
        <v>500</v>
      </c>
      <c r="H142" s="42">
        <f t="shared" si="21"/>
        <v>205640</v>
      </c>
      <c r="I142" s="42">
        <v>30000</v>
      </c>
      <c r="J142" s="42"/>
      <c r="K142" s="42">
        <f t="shared" si="22"/>
        <v>235640</v>
      </c>
      <c r="L142" s="42">
        <v>17000</v>
      </c>
      <c r="M142" s="42"/>
      <c r="N142" s="42">
        <f t="shared" si="23"/>
        <v>252640</v>
      </c>
    </row>
    <row r="143" spans="1:14" ht="13.5" customHeight="1">
      <c r="A143" s="13" t="s">
        <v>35</v>
      </c>
      <c r="B143" s="45">
        <f>SUM(B145:B150)</f>
        <v>0</v>
      </c>
      <c r="C143" s="45">
        <f>SUM(C145:C150)</f>
        <v>0</v>
      </c>
      <c r="D143" s="45">
        <f>SUM(D145:D150)</f>
        <v>1000</v>
      </c>
      <c r="E143" s="45">
        <f>B143+C143+D143</f>
        <v>1000</v>
      </c>
      <c r="F143" s="45">
        <f>SUM(F145:F150)</f>
        <v>6100</v>
      </c>
      <c r="G143" s="45">
        <f>SUM(G145:G150)</f>
        <v>0</v>
      </c>
      <c r="H143" s="45">
        <f t="shared" si="21"/>
        <v>7100</v>
      </c>
      <c r="I143" s="45">
        <f>SUM(I145:I150)</f>
        <v>0</v>
      </c>
      <c r="J143" s="45">
        <f>SUM(J145:J150)</f>
        <v>0</v>
      </c>
      <c r="K143" s="45">
        <f t="shared" si="22"/>
        <v>7100</v>
      </c>
      <c r="L143" s="45">
        <f>SUM(L145:L150)</f>
        <v>-3100</v>
      </c>
      <c r="M143" s="45">
        <f>SUM(M145:M150)</f>
        <v>0</v>
      </c>
      <c r="N143" s="45">
        <f t="shared" si="23"/>
        <v>4000</v>
      </c>
    </row>
    <row r="144" spans="1:14" ht="10.5" customHeight="1">
      <c r="A144" s="10" t="s">
        <v>1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1:14" ht="12.75" customHeight="1" hidden="1">
      <c r="A145" s="4" t="s">
        <v>146</v>
      </c>
      <c r="B145" s="42"/>
      <c r="C145" s="42"/>
      <c r="D145" s="42"/>
      <c r="E145" s="42">
        <f>B145+C145+D145</f>
        <v>0</v>
      </c>
      <c r="F145" s="42"/>
      <c r="G145" s="42"/>
      <c r="H145" s="42">
        <f aca="true" t="shared" si="24" ref="H145:H150">E145+F145+G145</f>
        <v>0</v>
      </c>
      <c r="I145" s="42"/>
      <c r="J145" s="42"/>
      <c r="K145" s="42">
        <f aca="true" t="shared" si="25" ref="K145:K150">H145+I145+J145</f>
        <v>0</v>
      </c>
      <c r="L145" s="42"/>
      <c r="M145" s="42"/>
      <c r="N145" s="42">
        <f aca="true" t="shared" si="26" ref="N145:N150">K145+L145+M145</f>
        <v>0</v>
      </c>
    </row>
    <row r="146" spans="1:14" ht="12.75" customHeight="1">
      <c r="A146" s="8" t="s">
        <v>41</v>
      </c>
      <c r="B146" s="40"/>
      <c r="C146" s="40"/>
      <c r="D146" s="40"/>
      <c r="E146" s="42"/>
      <c r="F146" s="40">
        <v>3100</v>
      </c>
      <c r="G146" s="40"/>
      <c r="H146" s="42">
        <f t="shared" si="24"/>
        <v>3100</v>
      </c>
      <c r="I146" s="40"/>
      <c r="J146" s="40"/>
      <c r="K146" s="42">
        <f t="shared" si="25"/>
        <v>3100</v>
      </c>
      <c r="L146" s="40">
        <v>-3100</v>
      </c>
      <c r="M146" s="40"/>
      <c r="N146" s="42">
        <f t="shared" si="26"/>
        <v>0</v>
      </c>
    </row>
    <row r="147" spans="1:14" ht="12.75" customHeight="1">
      <c r="A147" s="8" t="s">
        <v>214</v>
      </c>
      <c r="B147" s="40"/>
      <c r="C147" s="40"/>
      <c r="D147" s="40"/>
      <c r="E147" s="42"/>
      <c r="F147" s="40">
        <v>3000</v>
      </c>
      <c r="G147" s="40"/>
      <c r="H147" s="42">
        <f t="shared" si="24"/>
        <v>3000</v>
      </c>
      <c r="I147" s="40"/>
      <c r="J147" s="40"/>
      <c r="K147" s="42">
        <f t="shared" si="25"/>
        <v>3000</v>
      </c>
      <c r="L147" s="40"/>
      <c r="M147" s="40"/>
      <c r="N147" s="42">
        <f t="shared" si="26"/>
        <v>3000</v>
      </c>
    </row>
    <row r="148" spans="1:14" ht="12.75" customHeight="1">
      <c r="A148" s="37" t="s">
        <v>181</v>
      </c>
      <c r="B148" s="48"/>
      <c r="C148" s="48"/>
      <c r="D148" s="48">
        <v>1000</v>
      </c>
      <c r="E148" s="46">
        <f>B148+C148+D148</f>
        <v>1000</v>
      </c>
      <c r="F148" s="48"/>
      <c r="G148" s="48"/>
      <c r="H148" s="46">
        <f t="shared" si="24"/>
        <v>1000</v>
      </c>
      <c r="I148" s="48"/>
      <c r="J148" s="48"/>
      <c r="K148" s="46">
        <f t="shared" si="25"/>
        <v>1000</v>
      </c>
      <c r="L148" s="48"/>
      <c r="M148" s="48"/>
      <c r="N148" s="46">
        <f t="shared" si="26"/>
        <v>1000</v>
      </c>
    </row>
    <row r="149" spans="1:14" ht="12.75" customHeight="1" hidden="1">
      <c r="A149" s="8" t="s">
        <v>113</v>
      </c>
      <c r="B149" s="40"/>
      <c r="C149" s="40"/>
      <c r="D149" s="40"/>
      <c r="E149" s="42">
        <f>B149+C149+D149</f>
        <v>0</v>
      </c>
      <c r="F149" s="40"/>
      <c r="G149" s="40"/>
      <c r="H149" s="42">
        <f t="shared" si="24"/>
        <v>0</v>
      </c>
      <c r="I149" s="40"/>
      <c r="J149" s="40"/>
      <c r="K149" s="42">
        <f t="shared" si="25"/>
        <v>0</v>
      </c>
      <c r="L149" s="40"/>
      <c r="M149" s="40"/>
      <c r="N149" s="42">
        <f t="shared" si="26"/>
        <v>0</v>
      </c>
    </row>
    <row r="150" spans="1:14" ht="12.75" customHeight="1" hidden="1">
      <c r="A150" s="8" t="s">
        <v>55</v>
      </c>
      <c r="B150" s="40"/>
      <c r="C150" s="40"/>
      <c r="D150" s="40"/>
      <c r="E150" s="42">
        <f>B150+C150+D150</f>
        <v>0</v>
      </c>
      <c r="F150" s="40"/>
      <c r="G150" s="40"/>
      <c r="H150" s="42">
        <f t="shared" si="24"/>
        <v>0</v>
      </c>
      <c r="I150" s="40"/>
      <c r="J150" s="40"/>
      <c r="K150" s="42">
        <f t="shared" si="25"/>
        <v>0</v>
      </c>
      <c r="L150" s="40"/>
      <c r="M150" s="40"/>
      <c r="N150" s="42">
        <f t="shared" si="26"/>
        <v>0</v>
      </c>
    </row>
    <row r="151" spans="1:14" ht="12.75" customHeight="1" hidden="1">
      <c r="A151" s="8" t="s">
        <v>82</v>
      </c>
      <c r="B151" s="40"/>
      <c r="C151" s="40"/>
      <c r="D151" s="40"/>
      <c r="E151" s="42">
        <f>B151+C151</f>
        <v>0</v>
      </c>
      <c r="F151" s="40"/>
      <c r="G151" s="40"/>
      <c r="H151" s="42">
        <f>E151+F151</f>
        <v>0</v>
      </c>
      <c r="I151" s="40"/>
      <c r="J151" s="40"/>
      <c r="K151" s="42">
        <f>H151+I151</f>
        <v>0</v>
      </c>
      <c r="L151" s="40"/>
      <c r="M151" s="40"/>
      <c r="N151" s="42">
        <f>K151+L151</f>
        <v>0</v>
      </c>
    </row>
    <row r="152" spans="1:14" ht="18.75" customHeight="1">
      <c r="A152" s="2" t="s">
        <v>92</v>
      </c>
      <c r="B152" s="39">
        <f aca="true" t="shared" si="27" ref="B152:N152">B153</f>
        <v>7000</v>
      </c>
      <c r="C152" s="39">
        <f t="shared" si="27"/>
        <v>0</v>
      </c>
      <c r="D152" s="39">
        <f t="shared" si="27"/>
        <v>0</v>
      </c>
      <c r="E152" s="39">
        <f t="shared" si="27"/>
        <v>7000</v>
      </c>
      <c r="F152" s="39">
        <f t="shared" si="27"/>
        <v>78</v>
      </c>
      <c r="G152" s="39">
        <f t="shared" si="27"/>
        <v>1000</v>
      </c>
      <c r="H152" s="39">
        <f t="shared" si="27"/>
        <v>8078</v>
      </c>
      <c r="I152" s="39">
        <f t="shared" si="27"/>
        <v>0</v>
      </c>
      <c r="J152" s="39">
        <f t="shared" si="27"/>
        <v>0</v>
      </c>
      <c r="K152" s="39">
        <f t="shared" si="27"/>
        <v>8078</v>
      </c>
      <c r="L152" s="39">
        <f t="shared" si="27"/>
        <v>0</v>
      </c>
      <c r="M152" s="39">
        <f t="shared" si="27"/>
        <v>0</v>
      </c>
      <c r="N152" s="39">
        <f t="shared" si="27"/>
        <v>8078</v>
      </c>
    </row>
    <row r="153" spans="1:14" ht="15" customHeight="1">
      <c r="A153" s="6" t="s">
        <v>34</v>
      </c>
      <c r="B153" s="44">
        <f>SUM(B155:B156)</f>
        <v>7000</v>
      </c>
      <c r="C153" s="44">
        <f>SUM(C155:C155)</f>
        <v>0</v>
      </c>
      <c r="D153" s="44">
        <f>SUM(D155:D155)</f>
        <v>0</v>
      </c>
      <c r="E153" s="44">
        <f>B153+C153</f>
        <v>7000</v>
      </c>
      <c r="F153" s="44">
        <f>SUM(F155:F156)</f>
        <v>78</v>
      </c>
      <c r="G153" s="44">
        <f>SUM(G155:G156)</f>
        <v>1000</v>
      </c>
      <c r="H153" s="44">
        <f>E153+F153+G153</f>
        <v>8078</v>
      </c>
      <c r="I153" s="44">
        <f>SUM(I155:I156)</f>
        <v>0</v>
      </c>
      <c r="J153" s="44">
        <f>SUM(J155:J156)</f>
        <v>0</v>
      </c>
      <c r="K153" s="44">
        <f>H153+I153+J153</f>
        <v>8078</v>
      </c>
      <c r="L153" s="44">
        <f>SUM(L155:L156)</f>
        <v>0</v>
      </c>
      <c r="M153" s="44">
        <f>SUM(M155:M156)</f>
        <v>0</v>
      </c>
      <c r="N153" s="44">
        <f>K153+L153+M153</f>
        <v>8078</v>
      </c>
    </row>
    <row r="154" spans="1:14" ht="10.5" customHeight="1">
      <c r="A154" s="3" t="s">
        <v>1</v>
      </c>
      <c r="B154" s="42"/>
      <c r="C154" s="42"/>
      <c r="D154" s="42"/>
      <c r="E154" s="39"/>
      <c r="F154" s="42"/>
      <c r="G154" s="42"/>
      <c r="H154" s="39"/>
      <c r="I154" s="42"/>
      <c r="J154" s="42"/>
      <c r="K154" s="39"/>
      <c r="L154" s="42"/>
      <c r="M154" s="42"/>
      <c r="N154" s="39"/>
    </row>
    <row r="155" spans="1:14" ht="12.75" customHeight="1">
      <c r="A155" s="8" t="s">
        <v>9</v>
      </c>
      <c r="B155" s="40">
        <v>7000</v>
      </c>
      <c r="C155" s="40"/>
      <c r="D155" s="40"/>
      <c r="E155" s="40">
        <f>B155+C155+D155</f>
        <v>7000</v>
      </c>
      <c r="F155" s="40">
        <v>78</v>
      </c>
      <c r="G155" s="40"/>
      <c r="H155" s="40">
        <f>E155+F155+G155</f>
        <v>7078</v>
      </c>
      <c r="I155" s="40"/>
      <c r="J155" s="40"/>
      <c r="K155" s="40">
        <f>H155+I155+J155</f>
        <v>7078</v>
      </c>
      <c r="L155" s="40"/>
      <c r="M155" s="40"/>
      <c r="N155" s="40">
        <f>K155+L155+M155</f>
        <v>7078</v>
      </c>
    </row>
    <row r="156" spans="1:14" ht="12.75" customHeight="1">
      <c r="A156" s="37" t="s">
        <v>44</v>
      </c>
      <c r="B156" s="48"/>
      <c r="C156" s="48"/>
      <c r="D156" s="48"/>
      <c r="E156" s="46"/>
      <c r="F156" s="48"/>
      <c r="G156" s="48">
        <v>1000</v>
      </c>
      <c r="H156" s="46">
        <f>E156+F156+G156</f>
        <v>1000</v>
      </c>
      <c r="I156" s="48"/>
      <c r="J156" s="48"/>
      <c r="K156" s="46">
        <f>H156+I156+J156</f>
        <v>1000</v>
      </c>
      <c r="L156" s="48"/>
      <c r="M156" s="48"/>
      <c r="N156" s="46">
        <f>K156+L156+M156</f>
        <v>1000</v>
      </c>
    </row>
    <row r="157" spans="1:14" ht="16.5" customHeight="1">
      <c r="A157" s="12" t="s">
        <v>67</v>
      </c>
      <c r="B157" s="41">
        <f aca="true" t="shared" si="28" ref="B157:N157">B158+B165</f>
        <v>350962</v>
      </c>
      <c r="C157" s="41">
        <f t="shared" si="28"/>
        <v>0</v>
      </c>
      <c r="D157" s="41">
        <f t="shared" si="28"/>
        <v>0</v>
      </c>
      <c r="E157" s="41">
        <f t="shared" si="28"/>
        <v>350962</v>
      </c>
      <c r="F157" s="41">
        <f t="shared" si="28"/>
        <v>0</v>
      </c>
      <c r="G157" s="41">
        <f t="shared" si="28"/>
        <v>187000</v>
      </c>
      <c r="H157" s="41">
        <f t="shared" si="28"/>
        <v>537962</v>
      </c>
      <c r="I157" s="41">
        <f t="shared" si="28"/>
        <v>0</v>
      </c>
      <c r="J157" s="41">
        <f t="shared" si="28"/>
        <v>0</v>
      </c>
      <c r="K157" s="41">
        <f t="shared" si="28"/>
        <v>537962</v>
      </c>
      <c r="L157" s="41">
        <f t="shared" si="28"/>
        <v>-88</v>
      </c>
      <c r="M157" s="41">
        <f t="shared" si="28"/>
        <v>0</v>
      </c>
      <c r="N157" s="41">
        <f t="shared" si="28"/>
        <v>537874</v>
      </c>
    </row>
    <row r="158" spans="1:14" ht="15" customHeight="1">
      <c r="A158" s="6" t="s">
        <v>34</v>
      </c>
      <c r="B158" s="44">
        <f>SUM(B160:B164)</f>
        <v>55962</v>
      </c>
      <c r="C158" s="44">
        <f>SUM(C160:C163)</f>
        <v>-1000</v>
      </c>
      <c r="D158" s="44">
        <f>SUM(D160:D163)</f>
        <v>0</v>
      </c>
      <c r="E158" s="44">
        <f>B158+C158+D158</f>
        <v>54962</v>
      </c>
      <c r="F158" s="44">
        <f>SUM(F160:F163)</f>
        <v>-238</v>
      </c>
      <c r="G158" s="44">
        <f>SUM(G160:G163)</f>
        <v>-1100</v>
      </c>
      <c r="H158" s="44">
        <f>E158+F158+G158</f>
        <v>53624</v>
      </c>
      <c r="I158" s="44">
        <f>SUM(I160:I163)</f>
        <v>0</v>
      </c>
      <c r="J158" s="44">
        <f>SUM(J160:J163)</f>
        <v>-12000</v>
      </c>
      <c r="K158" s="44">
        <f>H158+I158+J158</f>
        <v>41624</v>
      </c>
      <c r="L158" s="44">
        <f>SUM(L160:L164)</f>
        <v>712</v>
      </c>
      <c r="M158" s="44">
        <f>SUM(M160:M163)</f>
        <v>0</v>
      </c>
      <c r="N158" s="44">
        <f>K158+L158+M158</f>
        <v>42336</v>
      </c>
    </row>
    <row r="159" spans="1:14" ht="10.5" customHeight="1">
      <c r="A159" s="3" t="s">
        <v>1</v>
      </c>
      <c r="B159" s="42"/>
      <c r="C159" s="42"/>
      <c r="D159" s="42"/>
      <c r="E159" s="39"/>
      <c r="F159" s="42"/>
      <c r="G159" s="42"/>
      <c r="H159" s="39"/>
      <c r="I159" s="42"/>
      <c r="J159" s="42"/>
      <c r="K159" s="39"/>
      <c r="L159" s="42"/>
      <c r="M159" s="42"/>
      <c r="N159" s="39"/>
    </row>
    <row r="160" spans="1:14" ht="12.75" customHeight="1">
      <c r="A160" s="4" t="s">
        <v>9</v>
      </c>
      <c r="B160" s="42">
        <v>8962</v>
      </c>
      <c r="C160" s="42">
        <v>-1000</v>
      </c>
      <c r="D160" s="42"/>
      <c r="E160" s="42">
        <f>B160+C160+D160</f>
        <v>7962</v>
      </c>
      <c r="F160" s="42">
        <v>-238</v>
      </c>
      <c r="G160" s="42">
        <f>-2000+900</f>
        <v>-1100</v>
      </c>
      <c r="H160" s="42">
        <f>E160+F160+G160</f>
        <v>6624</v>
      </c>
      <c r="I160" s="42"/>
      <c r="J160" s="42"/>
      <c r="K160" s="42">
        <f>H160+I160+J160</f>
        <v>6624</v>
      </c>
      <c r="L160" s="42"/>
      <c r="M160" s="42"/>
      <c r="N160" s="42">
        <f aca="true" t="shared" si="29" ref="N160:N165">K160+L160+M160</f>
        <v>6624</v>
      </c>
    </row>
    <row r="161" spans="1:14" ht="12.75" customHeight="1">
      <c r="A161" s="4" t="s">
        <v>203</v>
      </c>
      <c r="B161" s="42">
        <v>27000</v>
      </c>
      <c r="C161" s="42"/>
      <c r="D161" s="42"/>
      <c r="E161" s="42">
        <f>B161+C161+D161</f>
        <v>27000</v>
      </c>
      <c r="F161" s="42"/>
      <c r="G161" s="42"/>
      <c r="H161" s="42">
        <f>E161+F161+G161</f>
        <v>27000</v>
      </c>
      <c r="I161" s="42"/>
      <c r="J161" s="42">
        <v>-12000</v>
      </c>
      <c r="K161" s="42">
        <f>H161+I161+J161</f>
        <v>15000</v>
      </c>
      <c r="L161" s="42">
        <v>-15000</v>
      </c>
      <c r="M161" s="42"/>
      <c r="N161" s="42">
        <f t="shared" si="29"/>
        <v>0</v>
      </c>
    </row>
    <row r="162" spans="1:14" ht="12.75" customHeight="1">
      <c r="A162" s="4" t="s">
        <v>176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>
        <v>15000</v>
      </c>
      <c r="M162" s="42"/>
      <c r="N162" s="42">
        <f t="shared" si="29"/>
        <v>15000</v>
      </c>
    </row>
    <row r="163" spans="1:14" ht="12.75" customHeight="1">
      <c r="A163" s="4" t="s">
        <v>27</v>
      </c>
      <c r="B163" s="42">
        <v>20000</v>
      </c>
      <c r="C163" s="42"/>
      <c r="D163" s="42"/>
      <c r="E163" s="42">
        <f>B163+C163+D163</f>
        <v>20000</v>
      </c>
      <c r="F163" s="42"/>
      <c r="G163" s="42"/>
      <c r="H163" s="42">
        <f>E163+F163+G163</f>
        <v>20000</v>
      </c>
      <c r="I163" s="42"/>
      <c r="J163" s="42"/>
      <c r="K163" s="42">
        <f>H163+I163+J163</f>
        <v>20000</v>
      </c>
      <c r="L163" s="42"/>
      <c r="M163" s="42"/>
      <c r="N163" s="42">
        <f t="shared" si="29"/>
        <v>20000</v>
      </c>
    </row>
    <row r="164" spans="1:14" ht="12.75" customHeight="1">
      <c r="A164" s="4" t="s">
        <v>195</v>
      </c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>
        <v>712</v>
      </c>
      <c r="M164" s="42"/>
      <c r="N164" s="42">
        <f t="shared" si="29"/>
        <v>712</v>
      </c>
    </row>
    <row r="165" spans="1:14" ht="15" customHeight="1">
      <c r="A165" s="13" t="s">
        <v>35</v>
      </c>
      <c r="B165" s="45">
        <f>B170+B167</f>
        <v>295000</v>
      </c>
      <c r="C165" s="45">
        <f>C170+C167</f>
        <v>1000</v>
      </c>
      <c r="D165" s="45">
        <f>D170+D167</f>
        <v>0</v>
      </c>
      <c r="E165" s="44">
        <f>B165+C165+D165</f>
        <v>296000</v>
      </c>
      <c r="F165" s="45">
        <f>SUM(F167:F170)</f>
        <v>238</v>
      </c>
      <c r="G165" s="45">
        <f>SUM(G167:G170)</f>
        <v>188100</v>
      </c>
      <c r="H165" s="44">
        <f>E165+F165+G165</f>
        <v>484338</v>
      </c>
      <c r="I165" s="45">
        <f>SUM(I167:I170)</f>
        <v>0</v>
      </c>
      <c r="J165" s="45">
        <f>SUM(J167:J170)</f>
        <v>12000</v>
      </c>
      <c r="K165" s="44">
        <f>H165+I165+J165</f>
        <v>496338</v>
      </c>
      <c r="L165" s="45">
        <f>SUM(L167:L170)</f>
        <v>-800</v>
      </c>
      <c r="M165" s="45">
        <f>SUM(M167:M170)</f>
        <v>0</v>
      </c>
      <c r="N165" s="44">
        <f t="shared" si="29"/>
        <v>495538</v>
      </c>
    </row>
    <row r="166" spans="1:14" ht="10.5" customHeight="1">
      <c r="A166" s="10" t="s">
        <v>1</v>
      </c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</row>
    <row r="167" spans="1:14" ht="12.75" customHeight="1">
      <c r="A167" s="5" t="s">
        <v>41</v>
      </c>
      <c r="B167" s="42"/>
      <c r="C167" s="42">
        <v>1000</v>
      </c>
      <c r="D167" s="42"/>
      <c r="E167" s="42">
        <f>B167+C167+D167</f>
        <v>1000</v>
      </c>
      <c r="F167" s="42">
        <v>238</v>
      </c>
      <c r="G167" s="42">
        <v>1100</v>
      </c>
      <c r="H167" s="42">
        <f>E167+F167+G167</f>
        <v>2338</v>
      </c>
      <c r="I167" s="42"/>
      <c r="J167" s="42"/>
      <c r="K167" s="42">
        <f>H167+I167+J167</f>
        <v>2338</v>
      </c>
      <c r="L167" s="42">
        <v>-800</v>
      </c>
      <c r="M167" s="42"/>
      <c r="N167" s="42">
        <f>K167+L167+M167</f>
        <v>1538</v>
      </c>
    </row>
    <row r="168" spans="1:14" ht="12.75" customHeight="1">
      <c r="A168" s="5" t="s">
        <v>210</v>
      </c>
      <c r="B168" s="42"/>
      <c r="C168" s="42"/>
      <c r="D168" s="42"/>
      <c r="E168" s="42"/>
      <c r="F168" s="42"/>
      <c r="G168" s="42">
        <v>2000</v>
      </c>
      <c r="H168" s="42">
        <f>E168+F168+G168</f>
        <v>2000</v>
      </c>
      <c r="I168" s="42"/>
      <c r="J168" s="42"/>
      <c r="K168" s="42">
        <f>H168+I168+J168</f>
        <v>2000</v>
      </c>
      <c r="L168" s="42"/>
      <c r="M168" s="42"/>
      <c r="N168" s="42">
        <f>K168+L168+M168</f>
        <v>2000</v>
      </c>
    </row>
    <row r="169" spans="1:14" ht="12.75" customHeight="1">
      <c r="A169" s="5" t="s">
        <v>211</v>
      </c>
      <c r="B169" s="42"/>
      <c r="C169" s="42"/>
      <c r="D169" s="42"/>
      <c r="E169" s="42"/>
      <c r="F169" s="42"/>
      <c r="G169" s="42">
        <v>480000</v>
      </c>
      <c r="H169" s="42">
        <f>E169+F169+G169</f>
        <v>480000</v>
      </c>
      <c r="I169" s="42"/>
      <c r="J169" s="42">
        <v>12000</v>
      </c>
      <c r="K169" s="42">
        <f>H169+I169+J169</f>
        <v>492000</v>
      </c>
      <c r="L169" s="42"/>
      <c r="M169" s="42"/>
      <c r="N169" s="42">
        <f>K169+L169+M169</f>
        <v>492000</v>
      </c>
    </row>
    <row r="170" spans="1:14" ht="12.75" customHeight="1">
      <c r="A170" s="32" t="s">
        <v>204</v>
      </c>
      <c r="B170" s="46">
        <v>295000</v>
      </c>
      <c r="C170" s="46"/>
      <c r="D170" s="46"/>
      <c r="E170" s="46">
        <f>B170+C170+D170</f>
        <v>295000</v>
      </c>
      <c r="F170" s="46"/>
      <c r="G170" s="46">
        <f>185000-480000</f>
        <v>-295000</v>
      </c>
      <c r="H170" s="46">
        <f>E170+F170+G170</f>
        <v>0</v>
      </c>
      <c r="I170" s="46"/>
      <c r="J170" s="46"/>
      <c r="K170" s="46">
        <f>H170+I170+J170</f>
        <v>0</v>
      </c>
      <c r="L170" s="46"/>
      <c r="M170" s="46"/>
      <c r="N170" s="46">
        <f>K170+L170+M170</f>
        <v>0</v>
      </c>
    </row>
    <row r="171" spans="1:14" ht="19.5" customHeight="1">
      <c r="A171" s="2" t="s">
        <v>56</v>
      </c>
      <c r="B171" s="39">
        <f>B172+B201</f>
        <v>223700</v>
      </c>
      <c r="C171" s="39">
        <f>C172+C201</f>
        <v>16710.1</v>
      </c>
      <c r="D171" s="39">
        <f>D172+D201</f>
        <v>-7550.9000000000015</v>
      </c>
      <c r="E171" s="39">
        <f>E172+E201</f>
        <v>232859.2</v>
      </c>
      <c r="F171" s="39">
        <f>F172+F201</f>
        <v>-18454.4</v>
      </c>
      <c r="G171" s="39">
        <f>G172+G201</f>
        <v>-17340</v>
      </c>
      <c r="H171" s="39">
        <f>H172+H201</f>
        <v>197064.8</v>
      </c>
      <c r="I171" s="39">
        <f>I172+I201</f>
        <v>7918.599999999999</v>
      </c>
      <c r="J171" s="39">
        <f>J172+J201</f>
        <v>4554</v>
      </c>
      <c r="K171" s="39">
        <f>K172+K201</f>
        <v>209537.4</v>
      </c>
      <c r="L171" s="39">
        <f>L172+L201</f>
        <v>43077.5</v>
      </c>
      <c r="M171" s="39">
        <f>M172+M201</f>
        <v>0</v>
      </c>
      <c r="N171" s="39">
        <f>N172+N201</f>
        <v>252614.9</v>
      </c>
    </row>
    <row r="172" spans="1:14" ht="15" customHeight="1">
      <c r="A172" s="6" t="s">
        <v>34</v>
      </c>
      <c r="B172" s="44">
        <f>SUM(B174:B190)+B192</f>
        <v>177700</v>
      </c>
      <c r="C172" s="44">
        <f>SUM(C174:C190)+C192</f>
        <v>14445.1</v>
      </c>
      <c r="D172" s="44">
        <f>SUM(D174:D190)+D192</f>
        <v>-1847.7000000000007</v>
      </c>
      <c r="E172" s="44">
        <f>SUM(E174:E190)+E192</f>
        <v>190297.40000000002</v>
      </c>
      <c r="F172" s="44">
        <f>SUM(F174:F190)+F192</f>
        <v>-20157</v>
      </c>
      <c r="G172" s="44">
        <f>SUM(G174:G190)+G192</f>
        <v>-15940</v>
      </c>
      <c r="H172" s="44">
        <f>SUM(H174:H190)+H192</f>
        <v>154200.4</v>
      </c>
      <c r="I172" s="44">
        <f>SUM(I174:I190)+I192</f>
        <v>6918.599999999999</v>
      </c>
      <c r="J172" s="44">
        <f>SUM(J174:J190)+J192</f>
        <v>66.39999999999964</v>
      </c>
      <c r="K172" s="44">
        <f>SUM(K174:K190)+K192</f>
        <v>161185.4</v>
      </c>
      <c r="L172" s="44">
        <f>SUM(L174:L190)+L192</f>
        <v>33487</v>
      </c>
      <c r="M172" s="44">
        <f>SUM(M174:M190)+M192</f>
        <v>0</v>
      </c>
      <c r="N172" s="44">
        <f>SUM(N174:N190)+N192</f>
        <v>194672.4</v>
      </c>
    </row>
    <row r="173" spans="1:14" ht="10.5" customHeight="1">
      <c r="A173" s="10" t="s">
        <v>1</v>
      </c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</row>
    <row r="174" spans="1:14" ht="12.75" customHeight="1">
      <c r="A174" s="4" t="s">
        <v>9</v>
      </c>
      <c r="B174" s="42">
        <v>200</v>
      </c>
      <c r="C174" s="42"/>
      <c r="D174" s="42"/>
      <c r="E174" s="42">
        <f>SUM(A174:D174)</f>
        <v>200</v>
      </c>
      <c r="F174" s="42"/>
      <c r="G174" s="42">
        <v>1400</v>
      </c>
      <c r="H174" s="42">
        <f>SUM(E174:G174)</f>
        <v>1600</v>
      </c>
      <c r="I174" s="42"/>
      <c r="J174" s="42"/>
      <c r="K174" s="42">
        <f aca="true" t="shared" si="30" ref="K174:K181">SUM(H174:J174)</f>
        <v>1600</v>
      </c>
      <c r="L174" s="42"/>
      <c r="M174" s="42"/>
      <c r="N174" s="42">
        <f aca="true" t="shared" si="31" ref="N174:N200">SUM(K174:M174)</f>
        <v>1600</v>
      </c>
    </row>
    <row r="175" spans="1:14" ht="12.75" customHeight="1">
      <c r="A175" s="4" t="s">
        <v>18</v>
      </c>
      <c r="B175" s="42">
        <v>3500</v>
      </c>
      <c r="C175" s="42">
        <v>476</v>
      </c>
      <c r="D175" s="42"/>
      <c r="E175" s="42">
        <f>SUM(A175:D175)</f>
        <v>3976</v>
      </c>
      <c r="F175" s="42">
        <v>256.6</v>
      </c>
      <c r="G175" s="42"/>
      <c r="H175" s="42">
        <f>SUM(E175:G175)</f>
        <v>4232.6</v>
      </c>
      <c r="I175" s="42"/>
      <c r="J175" s="42">
        <v>150</v>
      </c>
      <c r="K175" s="42">
        <f t="shared" si="30"/>
        <v>4382.6</v>
      </c>
      <c r="L175" s="42"/>
      <c r="M175" s="42"/>
      <c r="N175" s="42">
        <f t="shared" si="31"/>
        <v>4382.6</v>
      </c>
    </row>
    <row r="176" spans="1:14" ht="12.75" customHeight="1">
      <c r="A176" s="30" t="s">
        <v>147</v>
      </c>
      <c r="B176" s="42">
        <v>20000</v>
      </c>
      <c r="C176" s="42">
        <f>-1950-515</f>
        <v>-2465</v>
      </c>
      <c r="D176" s="42"/>
      <c r="E176" s="42">
        <f>SUM(A176:D176)</f>
        <v>17535</v>
      </c>
      <c r="F176" s="42"/>
      <c r="G176" s="42"/>
      <c r="H176" s="42">
        <f>SUM(E176:G176)</f>
        <v>17535</v>
      </c>
      <c r="I176" s="42"/>
      <c r="J176" s="42">
        <v>-4487.6</v>
      </c>
      <c r="K176" s="42">
        <f t="shared" si="30"/>
        <v>13047.4</v>
      </c>
      <c r="L176" s="42"/>
      <c r="M176" s="42"/>
      <c r="N176" s="42">
        <f t="shared" si="31"/>
        <v>13047.4</v>
      </c>
    </row>
    <row r="177" spans="1:14" ht="12.75" customHeight="1">
      <c r="A177" s="30" t="s">
        <v>174</v>
      </c>
      <c r="B177" s="42"/>
      <c r="C177" s="42">
        <v>16598.5</v>
      </c>
      <c r="D177" s="42"/>
      <c r="E177" s="42">
        <f>SUM(A177:D177)</f>
        <v>16598.5</v>
      </c>
      <c r="F177" s="42"/>
      <c r="G177" s="42"/>
      <c r="H177" s="42">
        <f>SUM(E177:G177)</f>
        <v>16598.5</v>
      </c>
      <c r="I177" s="42"/>
      <c r="J177" s="42"/>
      <c r="K177" s="42">
        <f t="shared" si="30"/>
        <v>16598.5</v>
      </c>
      <c r="L177" s="42"/>
      <c r="M177" s="42"/>
      <c r="N177" s="42">
        <f t="shared" si="31"/>
        <v>16598.5</v>
      </c>
    </row>
    <row r="178" spans="1:14" ht="12.75" customHeight="1">
      <c r="A178" s="10" t="s">
        <v>107</v>
      </c>
      <c r="B178" s="42"/>
      <c r="C178" s="42"/>
      <c r="D178" s="42"/>
      <c r="E178" s="42">
        <f>SUM(A178:D178)</f>
        <v>0</v>
      </c>
      <c r="F178" s="42">
        <v>1141.2</v>
      </c>
      <c r="G178" s="42"/>
      <c r="H178" s="42">
        <f>SUM(E178:G178)</f>
        <v>1141.2</v>
      </c>
      <c r="I178" s="42"/>
      <c r="J178" s="42"/>
      <c r="K178" s="42">
        <f t="shared" si="30"/>
        <v>1141.2</v>
      </c>
      <c r="L178" s="42">
        <v>5560.9</v>
      </c>
      <c r="M178" s="42"/>
      <c r="N178" s="42">
        <f t="shared" si="31"/>
        <v>6702.099999999999</v>
      </c>
    </row>
    <row r="179" spans="1:14" ht="12.75" customHeight="1">
      <c r="A179" s="8" t="s">
        <v>109</v>
      </c>
      <c r="B179" s="42"/>
      <c r="C179" s="42"/>
      <c r="D179" s="42"/>
      <c r="E179" s="42"/>
      <c r="F179" s="42"/>
      <c r="G179" s="42"/>
      <c r="H179" s="42"/>
      <c r="I179" s="42">
        <v>3512.3</v>
      </c>
      <c r="J179" s="42"/>
      <c r="K179" s="42">
        <f t="shared" si="30"/>
        <v>3512.3</v>
      </c>
      <c r="L179" s="42">
        <f>17636</f>
        <v>17636</v>
      </c>
      <c r="M179" s="42"/>
      <c r="N179" s="42">
        <f t="shared" si="31"/>
        <v>21148.3</v>
      </c>
    </row>
    <row r="180" spans="1:14" ht="12.75" customHeight="1">
      <c r="A180" s="8" t="s">
        <v>110</v>
      </c>
      <c r="B180" s="42"/>
      <c r="C180" s="42"/>
      <c r="D180" s="42"/>
      <c r="E180" s="42"/>
      <c r="F180" s="42"/>
      <c r="G180" s="42"/>
      <c r="H180" s="42"/>
      <c r="I180" s="42">
        <v>2486.1</v>
      </c>
      <c r="J180" s="42"/>
      <c r="K180" s="42">
        <f t="shared" si="30"/>
        <v>2486.1</v>
      </c>
      <c r="L180" s="42">
        <v>3808.4</v>
      </c>
      <c r="M180" s="42"/>
      <c r="N180" s="42">
        <f t="shared" si="31"/>
        <v>6294.5</v>
      </c>
    </row>
    <row r="181" spans="1:14" ht="12.75" customHeight="1">
      <c r="A181" s="4" t="s">
        <v>106</v>
      </c>
      <c r="B181" s="42"/>
      <c r="C181" s="42"/>
      <c r="D181" s="42"/>
      <c r="E181" s="42">
        <f>SUM(A181:D181)</f>
        <v>0</v>
      </c>
      <c r="F181" s="42">
        <v>6118</v>
      </c>
      <c r="G181" s="42"/>
      <c r="H181" s="42">
        <f>SUM(E181:G181)</f>
        <v>6118</v>
      </c>
      <c r="I181" s="42"/>
      <c r="J181" s="42"/>
      <c r="K181" s="42">
        <f t="shared" si="30"/>
        <v>6118</v>
      </c>
      <c r="L181" s="42"/>
      <c r="M181" s="42"/>
      <c r="N181" s="42">
        <f t="shared" si="31"/>
        <v>6118</v>
      </c>
    </row>
    <row r="182" spans="1:14" ht="12.75" customHeight="1">
      <c r="A182" s="4" t="s">
        <v>237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>
        <v>11294.2</v>
      </c>
      <c r="M182" s="42"/>
      <c r="N182" s="42">
        <f t="shared" si="31"/>
        <v>11294.2</v>
      </c>
    </row>
    <row r="183" spans="1:14" ht="12.75" customHeight="1">
      <c r="A183" s="4" t="s">
        <v>238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>
        <v>300</v>
      </c>
      <c r="M183" s="42"/>
      <c r="N183" s="42">
        <f t="shared" si="31"/>
        <v>300</v>
      </c>
    </row>
    <row r="184" spans="1:14" ht="12.75" customHeight="1">
      <c r="A184" s="4" t="s">
        <v>195</v>
      </c>
      <c r="B184" s="42"/>
      <c r="C184" s="42"/>
      <c r="D184" s="42"/>
      <c r="E184" s="42"/>
      <c r="F184" s="42">
        <v>12</v>
      </c>
      <c r="G184" s="42"/>
      <c r="H184" s="42">
        <f>SUM(E184:G184)</f>
        <v>12</v>
      </c>
      <c r="I184" s="42">
        <v>468.4</v>
      </c>
      <c r="J184" s="42"/>
      <c r="K184" s="42">
        <f aca="true" t="shared" si="32" ref="K184:K200">SUM(H184:J184)</f>
        <v>480.4</v>
      </c>
      <c r="L184" s="42"/>
      <c r="M184" s="42"/>
      <c r="N184" s="42">
        <f t="shared" si="31"/>
        <v>480.4</v>
      </c>
    </row>
    <row r="185" spans="1:14" ht="12.75" customHeight="1">
      <c r="A185" s="4" t="s">
        <v>169</v>
      </c>
      <c r="B185" s="42"/>
      <c r="C185" s="42">
        <v>13</v>
      </c>
      <c r="D185" s="42"/>
      <c r="E185" s="42">
        <f>SUM(A185:D185)</f>
        <v>13</v>
      </c>
      <c r="F185" s="42"/>
      <c r="G185" s="42"/>
      <c r="H185" s="42">
        <f>SUM(E185:G185)</f>
        <v>13</v>
      </c>
      <c r="I185" s="42"/>
      <c r="J185" s="42"/>
      <c r="K185" s="42">
        <f t="shared" si="32"/>
        <v>13</v>
      </c>
      <c r="L185" s="42"/>
      <c r="M185" s="42"/>
      <c r="N185" s="42">
        <f t="shared" si="31"/>
        <v>13</v>
      </c>
    </row>
    <row r="186" spans="1:14" ht="12.75" customHeight="1">
      <c r="A186" s="4" t="s">
        <v>117</v>
      </c>
      <c r="B186" s="42"/>
      <c r="C186" s="42"/>
      <c r="D186" s="42"/>
      <c r="E186" s="42"/>
      <c r="F186" s="42"/>
      <c r="G186" s="42"/>
      <c r="H186" s="42"/>
      <c r="I186" s="42">
        <v>451.8</v>
      </c>
      <c r="J186" s="42"/>
      <c r="K186" s="42">
        <f t="shared" si="32"/>
        <v>451.8</v>
      </c>
      <c r="L186" s="42"/>
      <c r="M186" s="42"/>
      <c r="N186" s="42">
        <f t="shared" si="31"/>
        <v>451.8</v>
      </c>
    </row>
    <row r="187" spans="1:14" ht="12.75" customHeight="1">
      <c r="A187" s="4" t="s">
        <v>148</v>
      </c>
      <c r="B187" s="42"/>
      <c r="C187" s="42">
        <v>1022</v>
      </c>
      <c r="D187" s="42"/>
      <c r="E187" s="42">
        <f>SUM(A187:D187)</f>
        <v>1022</v>
      </c>
      <c r="F187" s="42"/>
      <c r="G187" s="42"/>
      <c r="H187" s="42">
        <f aca="true" t="shared" si="33" ref="H187:H200">SUM(E187:G187)</f>
        <v>1022</v>
      </c>
      <c r="I187" s="42"/>
      <c r="J187" s="42">
        <v>7188</v>
      </c>
      <c r="K187" s="42">
        <f t="shared" si="32"/>
        <v>8210</v>
      </c>
      <c r="L187" s="42"/>
      <c r="M187" s="42"/>
      <c r="N187" s="42">
        <f t="shared" si="31"/>
        <v>8210</v>
      </c>
    </row>
    <row r="188" spans="1:14" ht="12.75" customHeight="1">
      <c r="A188" s="4" t="s">
        <v>149</v>
      </c>
      <c r="B188" s="42"/>
      <c r="C188" s="42">
        <v>300.6</v>
      </c>
      <c r="D188" s="42"/>
      <c r="E188" s="42">
        <f>SUM(A188:D188)</f>
        <v>300.6</v>
      </c>
      <c r="F188" s="42">
        <v>204.5</v>
      </c>
      <c r="G188" s="42"/>
      <c r="H188" s="42">
        <f t="shared" si="33"/>
        <v>505.1</v>
      </c>
      <c r="I188" s="42"/>
      <c r="J188" s="42"/>
      <c r="K188" s="42">
        <f t="shared" si="32"/>
        <v>505.1</v>
      </c>
      <c r="L188" s="42"/>
      <c r="M188" s="42"/>
      <c r="N188" s="42">
        <f t="shared" si="31"/>
        <v>505.1</v>
      </c>
    </row>
    <row r="189" spans="1:14" ht="12.75" customHeight="1">
      <c r="A189" s="4" t="s">
        <v>72</v>
      </c>
      <c r="B189" s="42">
        <v>25000</v>
      </c>
      <c r="C189" s="42"/>
      <c r="D189" s="42">
        <v>-25000</v>
      </c>
      <c r="E189" s="42">
        <f>SUM(A189:D189)</f>
        <v>0</v>
      </c>
      <c r="F189" s="42"/>
      <c r="G189" s="42"/>
      <c r="H189" s="42">
        <f t="shared" si="33"/>
        <v>0</v>
      </c>
      <c r="I189" s="42"/>
      <c r="J189" s="42"/>
      <c r="K189" s="42">
        <f t="shared" si="32"/>
        <v>0</v>
      </c>
      <c r="L189" s="42"/>
      <c r="M189" s="42"/>
      <c r="N189" s="42">
        <f t="shared" si="31"/>
        <v>0</v>
      </c>
    </row>
    <row r="190" spans="1:14" ht="12.75" customHeight="1">
      <c r="A190" s="4" t="s">
        <v>55</v>
      </c>
      <c r="B190" s="42">
        <v>45000</v>
      </c>
      <c r="C190" s="42"/>
      <c r="D190" s="42">
        <v>38723</v>
      </c>
      <c r="E190" s="42">
        <f>SUM(A190:D190)</f>
        <v>83723</v>
      </c>
      <c r="F190" s="42"/>
      <c r="G190" s="42">
        <v>-500</v>
      </c>
      <c r="H190" s="42">
        <f t="shared" si="33"/>
        <v>83223</v>
      </c>
      <c r="I190" s="42"/>
      <c r="J190" s="42">
        <v>-2784</v>
      </c>
      <c r="K190" s="42">
        <f t="shared" si="32"/>
        <v>80439</v>
      </c>
      <c r="L190" s="42">
        <f>-2000-62.5+150+800-2000</f>
        <v>-3112.5</v>
      </c>
      <c r="M190" s="42"/>
      <c r="N190" s="42">
        <f t="shared" si="31"/>
        <v>77326.5</v>
      </c>
    </row>
    <row r="191" spans="1:14" ht="12" customHeight="1">
      <c r="A191" s="4" t="s">
        <v>124</v>
      </c>
      <c r="B191" s="42">
        <v>1800</v>
      </c>
      <c r="C191" s="42">
        <v>1000</v>
      </c>
      <c r="D191" s="42">
        <v>1750</v>
      </c>
      <c r="E191" s="42">
        <f>SUM(A191:D191)</f>
        <v>4550</v>
      </c>
      <c r="F191" s="42"/>
      <c r="G191" s="42">
        <v>900</v>
      </c>
      <c r="H191" s="42">
        <f t="shared" si="33"/>
        <v>5450</v>
      </c>
      <c r="I191" s="42">
        <f>1800+2000+2000+2000+2000+2000+700</f>
        <v>12500</v>
      </c>
      <c r="J191" s="42"/>
      <c r="K191" s="42">
        <f t="shared" si="32"/>
        <v>17950</v>
      </c>
      <c r="L191" s="42">
        <f>100+500+800</f>
        <v>1400</v>
      </c>
      <c r="M191" s="42"/>
      <c r="N191" s="42">
        <f t="shared" si="31"/>
        <v>19350</v>
      </c>
    </row>
    <row r="192" spans="1:14" ht="12" customHeight="1">
      <c r="A192" s="4" t="s">
        <v>44</v>
      </c>
      <c r="B192" s="42">
        <f aca="true" t="shared" si="34" ref="B192:G192">SUM(B193:B200)</f>
        <v>84000</v>
      </c>
      <c r="C192" s="42">
        <f t="shared" si="34"/>
        <v>-1500</v>
      </c>
      <c r="D192" s="42">
        <f t="shared" si="34"/>
        <v>-15570.7</v>
      </c>
      <c r="E192" s="42">
        <f t="shared" si="34"/>
        <v>66929.3</v>
      </c>
      <c r="F192" s="42">
        <f t="shared" si="34"/>
        <v>-27889.3</v>
      </c>
      <c r="G192" s="42">
        <f t="shared" si="34"/>
        <v>-16840</v>
      </c>
      <c r="H192" s="42">
        <f t="shared" si="33"/>
        <v>22200</v>
      </c>
      <c r="I192" s="42"/>
      <c r="J192" s="42"/>
      <c r="K192" s="42">
        <f t="shared" si="32"/>
        <v>22200</v>
      </c>
      <c r="L192" s="42">
        <f>SUM(L193:L200)</f>
        <v>-2000</v>
      </c>
      <c r="M192" s="42"/>
      <c r="N192" s="42">
        <f t="shared" si="31"/>
        <v>20200</v>
      </c>
    </row>
    <row r="193" spans="1:14" ht="12" customHeight="1">
      <c r="A193" s="4" t="s">
        <v>125</v>
      </c>
      <c r="B193" s="42">
        <v>500</v>
      </c>
      <c r="C193" s="42"/>
      <c r="D193" s="42"/>
      <c r="E193" s="42">
        <f aca="true" t="shared" si="35" ref="E193:E200">SUM(A193:D193)</f>
        <v>500</v>
      </c>
      <c r="F193" s="42"/>
      <c r="G193" s="42"/>
      <c r="H193" s="42">
        <f t="shared" si="33"/>
        <v>500</v>
      </c>
      <c r="I193" s="42"/>
      <c r="J193" s="42"/>
      <c r="K193" s="42">
        <f t="shared" si="32"/>
        <v>500</v>
      </c>
      <c r="L193" s="42"/>
      <c r="M193" s="42"/>
      <c r="N193" s="42">
        <f t="shared" si="31"/>
        <v>500</v>
      </c>
    </row>
    <row r="194" spans="1:14" ht="12" customHeight="1">
      <c r="A194" s="4" t="s">
        <v>126</v>
      </c>
      <c r="B194" s="42">
        <v>9000</v>
      </c>
      <c r="C194" s="42">
        <v>-1500</v>
      </c>
      <c r="D194" s="42"/>
      <c r="E194" s="42">
        <f t="shared" si="35"/>
        <v>7500</v>
      </c>
      <c r="F194" s="42"/>
      <c r="G194" s="42">
        <v>-7500</v>
      </c>
      <c r="H194" s="42">
        <f t="shared" si="33"/>
        <v>0</v>
      </c>
      <c r="I194" s="42"/>
      <c r="J194" s="42"/>
      <c r="K194" s="42">
        <f t="shared" si="32"/>
        <v>0</v>
      </c>
      <c r="L194" s="42"/>
      <c r="M194" s="42"/>
      <c r="N194" s="42">
        <f t="shared" si="31"/>
        <v>0</v>
      </c>
    </row>
    <row r="195" spans="1:14" ht="12" customHeight="1">
      <c r="A195" s="67" t="s">
        <v>127</v>
      </c>
      <c r="B195" s="48">
        <v>13530</v>
      </c>
      <c r="C195" s="48"/>
      <c r="D195" s="48">
        <v>-13530</v>
      </c>
      <c r="E195" s="48">
        <f t="shared" si="35"/>
        <v>0</v>
      </c>
      <c r="F195" s="48"/>
      <c r="G195" s="48"/>
      <c r="H195" s="48">
        <f t="shared" si="33"/>
        <v>0</v>
      </c>
      <c r="I195" s="48"/>
      <c r="J195" s="48"/>
      <c r="K195" s="48">
        <f t="shared" si="32"/>
        <v>0</v>
      </c>
      <c r="L195" s="48"/>
      <c r="M195" s="48"/>
      <c r="N195" s="48">
        <f t="shared" si="31"/>
        <v>0</v>
      </c>
    </row>
    <row r="196" spans="1:14" ht="12" customHeight="1">
      <c r="A196" s="4" t="s">
        <v>128</v>
      </c>
      <c r="B196" s="42">
        <v>2700</v>
      </c>
      <c r="C196" s="42"/>
      <c r="D196" s="42"/>
      <c r="E196" s="42">
        <f t="shared" si="35"/>
        <v>2700</v>
      </c>
      <c r="F196" s="42"/>
      <c r="G196" s="42">
        <v>-1000</v>
      </c>
      <c r="H196" s="42">
        <f t="shared" si="33"/>
        <v>1700</v>
      </c>
      <c r="I196" s="42"/>
      <c r="J196" s="42"/>
      <c r="K196" s="42">
        <f t="shared" si="32"/>
        <v>1700</v>
      </c>
      <c r="L196" s="42"/>
      <c r="M196" s="42"/>
      <c r="N196" s="42">
        <f t="shared" si="31"/>
        <v>1700</v>
      </c>
    </row>
    <row r="197" spans="1:14" ht="12" customHeight="1">
      <c r="A197" s="4" t="s">
        <v>129</v>
      </c>
      <c r="B197" s="42">
        <v>4510</v>
      </c>
      <c r="C197" s="42"/>
      <c r="D197" s="42"/>
      <c r="E197" s="42">
        <f t="shared" si="35"/>
        <v>4510</v>
      </c>
      <c r="F197" s="42">
        <v>-4510</v>
      </c>
      <c r="G197" s="42"/>
      <c r="H197" s="42">
        <f t="shared" si="33"/>
        <v>0</v>
      </c>
      <c r="I197" s="42"/>
      <c r="J197" s="42"/>
      <c r="K197" s="42">
        <f t="shared" si="32"/>
        <v>0</v>
      </c>
      <c r="L197" s="42"/>
      <c r="M197" s="42"/>
      <c r="N197" s="42">
        <f t="shared" si="31"/>
        <v>0</v>
      </c>
    </row>
    <row r="198" spans="1:14" ht="12" customHeight="1">
      <c r="A198" s="4" t="s">
        <v>130</v>
      </c>
      <c r="B198" s="42">
        <v>10280</v>
      </c>
      <c r="C198" s="42"/>
      <c r="D198" s="42"/>
      <c r="E198" s="42">
        <f t="shared" si="35"/>
        <v>10280</v>
      </c>
      <c r="F198" s="42">
        <v>-10280</v>
      </c>
      <c r="G198" s="42"/>
      <c r="H198" s="42">
        <f t="shared" si="33"/>
        <v>0</v>
      </c>
      <c r="I198" s="42"/>
      <c r="J198" s="42"/>
      <c r="K198" s="42">
        <f t="shared" si="32"/>
        <v>0</v>
      </c>
      <c r="L198" s="42"/>
      <c r="M198" s="42"/>
      <c r="N198" s="42">
        <f t="shared" si="31"/>
        <v>0</v>
      </c>
    </row>
    <row r="199" spans="1:14" ht="12" customHeight="1">
      <c r="A199" s="4" t="s">
        <v>131</v>
      </c>
      <c r="B199" s="42">
        <v>28340</v>
      </c>
      <c r="C199" s="42"/>
      <c r="D199" s="42"/>
      <c r="E199" s="42">
        <f t="shared" si="35"/>
        <v>28340</v>
      </c>
      <c r="F199" s="42"/>
      <c r="G199" s="42">
        <v>-28340</v>
      </c>
      <c r="H199" s="42">
        <f t="shared" si="33"/>
        <v>0</v>
      </c>
      <c r="I199" s="42"/>
      <c r="J199" s="42"/>
      <c r="K199" s="42">
        <f t="shared" si="32"/>
        <v>0</v>
      </c>
      <c r="L199" s="42"/>
      <c r="M199" s="42"/>
      <c r="N199" s="42">
        <f t="shared" si="31"/>
        <v>0</v>
      </c>
    </row>
    <row r="200" spans="1:14" ht="12" customHeight="1">
      <c r="A200" s="4" t="s">
        <v>132</v>
      </c>
      <c r="B200" s="42">
        <v>15140</v>
      </c>
      <c r="C200" s="42"/>
      <c r="D200" s="42">
        <v>-2040.7</v>
      </c>
      <c r="E200" s="42">
        <f t="shared" si="35"/>
        <v>13099.3</v>
      </c>
      <c r="F200" s="42">
        <v>-13099.3</v>
      </c>
      <c r="G200" s="42">
        <v>20000</v>
      </c>
      <c r="H200" s="42">
        <f t="shared" si="33"/>
        <v>20000</v>
      </c>
      <c r="I200" s="42"/>
      <c r="J200" s="42"/>
      <c r="K200" s="42">
        <f t="shared" si="32"/>
        <v>20000</v>
      </c>
      <c r="L200" s="42">
        <v>-2000</v>
      </c>
      <c r="M200" s="42"/>
      <c r="N200" s="42">
        <f t="shared" si="31"/>
        <v>18000</v>
      </c>
    </row>
    <row r="201" spans="1:14" ht="12.75" customHeight="1">
      <c r="A201" s="13" t="s">
        <v>35</v>
      </c>
      <c r="B201" s="45">
        <f aca="true" t="shared" si="36" ref="B201:N201">SUM(B203:B213)</f>
        <v>46000</v>
      </c>
      <c r="C201" s="45">
        <f t="shared" si="36"/>
        <v>2265</v>
      </c>
      <c r="D201" s="45">
        <f t="shared" si="36"/>
        <v>-5703.200000000001</v>
      </c>
      <c r="E201" s="45">
        <f t="shared" si="36"/>
        <v>42561.8</v>
      </c>
      <c r="F201" s="45">
        <f t="shared" si="36"/>
        <v>1702.6</v>
      </c>
      <c r="G201" s="45">
        <f t="shared" si="36"/>
        <v>-1400</v>
      </c>
      <c r="H201" s="45">
        <f t="shared" si="36"/>
        <v>42864.4</v>
      </c>
      <c r="I201" s="45">
        <f t="shared" si="36"/>
        <v>1000</v>
      </c>
      <c r="J201" s="45">
        <f t="shared" si="36"/>
        <v>4487.6</v>
      </c>
      <c r="K201" s="45">
        <f t="shared" si="36"/>
        <v>48352</v>
      </c>
      <c r="L201" s="45">
        <f t="shared" si="36"/>
        <v>9590.5</v>
      </c>
      <c r="M201" s="45">
        <f t="shared" si="36"/>
        <v>0</v>
      </c>
      <c r="N201" s="45">
        <f t="shared" si="36"/>
        <v>57942.5</v>
      </c>
    </row>
    <row r="202" spans="1:14" ht="10.5" customHeight="1">
      <c r="A202" s="30" t="s">
        <v>1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</row>
    <row r="203" spans="1:14" ht="12.75" customHeight="1">
      <c r="A203" s="4" t="s">
        <v>150</v>
      </c>
      <c r="B203" s="42"/>
      <c r="C203" s="42">
        <v>1950</v>
      </c>
      <c r="D203" s="42"/>
      <c r="E203" s="42">
        <f>B203+C203+D203</f>
        <v>1950</v>
      </c>
      <c r="F203" s="42"/>
      <c r="G203" s="42"/>
      <c r="H203" s="42">
        <f aca="true" t="shared" si="37" ref="H203:H210">SUM(E203:G203)</f>
        <v>1950</v>
      </c>
      <c r="I203" s="42"/>
      <c r="J203" s="42">
        <v>4487.6</v>
      </c>
      <c r="K203" s="42">
        <f aca="true" t="shared" si="38" ref="K203:K210">SUM(H203:J203)</f>
        <v>6437.6</v>
      </c>
      <c r="L203" s="42"/>
      <c r="M203" s="42"/>
      <c r="N203" s="42">
        <f aca="true" t="shared" si="39" ref="N203:N210">SUM(K203:M203)</f>
        <v>6437.6</v>
      </c>
    </row>
    <row r="204" spans="1:14" ht="12.75" customHeight="1">
      <c r="A204" s="4" t="s">
        <v>175</v>
      </c>
      <c r="B204" s="42"/>
      <c r="C204" s="42">
        <v>515</v>
      </c>
      <c r="D204" s="42"/>
      <c r="E204" s="42">
        <f>B204+C204+D204</f>
        <v>515</v>
      </c>
      <c r="F204" s="42"/>
      <c r="G204" s="42"/>
      <c r="H204" s="42">
        <f t="shared" si="37"/>
        <v>515</v>
      </c>
      <c r="I204" s="42"/>
      <c r="J204" s="42"/>
      <c r="K204" s="42">
        <f t="shared" si="38"/>
        <v>515</v>
      </c>
      <c r="L204" s="42"/>
      <c r="M204" s="42"/>
      <c r="N204" s="42">
        <f t="shared" si="39"/>
        <v>515</v>
      </c>
    </row>
    <row r="205" spans="1:14" ht="12.75" customHeight="1">
      <c r="A205" s="4" t="s">
        <v>210</v>
      </c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>
        <v>2000</v>
      </c>
      <c r="M205" s="42"/>
      <c r="N205" s="42">
        <f t="shared" si="39"/>
        <v>2000</v>
      </c>
    </row>
    <row r="206" spans="1:14" ht="12.75" customHeight="1">
      <c r="A206" s="4" t="s">
        <v>105</v>
      </c>
      <c r="B206" s="42"/>
      <c r="C206" s="42"/>
      <c r="D206" s="42"/>
      <c r="E206" s="42">
        <f>B206+C206+D206</f>
        <v>0</v>
      </c>
      <c r="F206" s="42"/>
      <c r="G206" s="42"/>
      <c r="H206" s="42">
        <f t="shared" si="37"/>
        <v>0</v>
      </c>
      <c r="I206" s="42"/>
      <c r="J206" s="42"/>
      <c r="K206" s="42">
        <f t="shared" si="38"/>
        <v>0</v>
      </c>
      <c r="L206" s="42">
        <v>4363.9</v>
      </c>
      <c r="M206" s="42"/>
      <c r="N206" s="42">
        <f t="shared" si="39"/>
        <v>4363.9</v>
      </c>
    </row>
    <row r="207" spans="1:14" ht="12.75" customHeight="1">
      <c r="A207" s="30" t="s">
        <v>108</v>
      </c>
      <c r="B207" s="42"/>
      <c r="C207" s="42"/>
      <c r="D207" s="42"/>
      <c r="E207" s="42">
        <f>B207+C207</f>
        <v>0</v>
      </c>
      <c r="F207" s="42">
        <v>1702.6</v>
      </c>
      <c r="G207" s="42"/>
      <c r="H207" s="42">
        <f t="shared" si="37"/>
        <v>1702.6</v>
      </c>
      <c r="I207" s="42"/>
      <c r="J207" s="42"/>
      <c r="K207" s="42">
        <f t="shared" si="38"/>
        <v>1702.6</v>
      </c>
      <c r="L207" s="42">
        <v>1001.7</v>
      </c>
      <c r="M207" s="42"/>
      <c r="N207" s="42">
        <f t="shared" si="39"/>
        <v>2704.3</v>
      </c>
    </row>
    <row r="208" spans="1:14" ht="12.75" customHeight="1">
      <c r="A208" s="8" t="s">
        <v>110</v>
      </c>
      <c r="B208" s="42"/>
      <c r="C208" s="42"/>
      <c r="D208" s="42"/>
      <c r="E208" s="42">
        <f>B208+C208</f>
        <v>0</v>
      </c>
      <c r="F208" s="42"/>
      <c r="G208" s="42"/>
      <c r="H208" s="42">
        <f t="shared" si="37"/>
        <v>0</v>
      </c>
      <c r="I208" s="42"/>
      <c r="J208" s="42"/>
      <c r="K208" s="42">
        <f t="shared" si="38"/>
        <v>0</v>
      </c>
      <c r="L208" s="42">
        <v>312.4</v>
      </c>
      <c r="M208" s="42"/>
      <c r="N208" s="42">
        <f t="shared" si="39"/>
        <v>312.4</v>
      </c>
    </row>
    <row r="209" spans="1:14" ht="12.75" customHeight="1">
      <c r="A209" s="4" t="s">
        <v>169</v>
      </c>
      <c r="B209" s="42"/>
      <c r="C209" s="42">
        <v>600</v>
      </c>
      <c r="D209" s="42"/>
      <c r="E209" s="42">
        <f>B209+C209</f>
        <v>600</v>
      </c>
      <c r="F209" s="42"/>
      <c r="G209" s="42"/>
      <c r="H209" s="42">
        <f t="shared" si="37"/>
        <v>600</v>
      </c>
      <c r="I209" s="42"/>
      <c r="J209" s="42"/>
      <c r="K209" s="42">
        <f t="shared" si="38"/>
        <v>600</v>
      </c>
      <c r="L209" s="42"/>
      <c r="M209" s="42"/>
      <c r="N209" s="42">
        <f t="shared" si="39"/>
        <v>600</v>
      </c>
    </row>
    <row r="210" spans="1:14" ht="12.75" customHeight="1" hidden="1">
      <c r="A210" s="4" t="s">
        <v>151</v>
      </c>
      <c r="B210" s="42"/>
      <c r="C210" s="42"/>
      <c r="D210" s="42"/>
      <c r="E210" s="42">
        <f>B210+C210+D210</f>
        <v>0</v>
      </c>
      <c r="F210" s="42"/>
      <c r="G210" s="42"/>
      <c r="H210" s="42">
        <f t="shared" si="37"/>
        <v>0</v>
      </c>
      <c r="I210" s="42"/>
      <c r="J210" s="42"/>
      <c r="K210" s="42">
        <f t="shared" si="38"/>
        <v>0</v>
      </c>
      <c r="L210" s="42"/>
      <c r="M210" s="42"/>
      <c r="N210" s="42">
        <f t="shared" si="39"/>
        <v>0</v>
      </c>
    </row>
    <row r="211" spans="1:14" ht="12.75" customHeight="1">
      <c r="A211" s="4" t="s">
        <v>41</v>
      </c>
      <c r="B211" s="42"/>
      <c r="C211" s="42"/>
      <c r="D211" s="42"/>
      <c r="E211" s="42"/>
      <c r="F211" s="42"/>
      <c r="G211" s="42">
        <v>600</v>
      </c>
      <c r="H211" s="42">
        <f>SUM(E209:G209)</f>
        <v>600</v>
      </c>
      <c r="I211" s="42"/>
      <c r="J211" s="42"/>
      <c r="K211" s="42">
        <f>SUM(H209:J209)</f>
        <v>600</v>
      </c>
      <c r="L211" s="42"/>
      <c r="M211" s="42"/>
      <c r="N211" s="42">
        <f>SUM(K209:M209)</f>
        <v>600</v>
      </c>
    </row>
    <row r="212" spans="1:14" ht="12.75" customHeight="1">
      <c r="A212" s="4" t="s">
        <v>72</v>
      </c>
      <c r="B212" s="42">
        <v>20000</v>
      </c>
      <c r="C212" s="42"/>
      <c r="D212" s="42">
        <v>-20000</v>
      </c>
      <c r="E212" s="42">
        <f>B212+C212+D212</f>
        <v>0</v>
      </c>
      <c r="F212" s="42"/>
      <c r="G212" s="42"/>
      <c r="H212" s="42">
        <f>SUM(E212:G212)</f>
        <v>0</v>
      </c>
      <c r="I212" s="42"/>
      <c r="J212" s="42"/>
      <c r="K212" s="42">
        <f>SUM(H212:J212)</f>
        <v>0</v>
      </c>
      <c r="L212" s="42"/>
      <c r="M212" s="42"/>
      <c r="N212" s="42">
        <f>SUM(K212:M212)</f>
        <v>0</v>
      </c>
    </row>
    <row r="213" spans="1:14" ht="12.75" customHeight="1">
      <c r="A213" s="67" t="s">
        <v>55</v>
      </c>
      <c r="B213" s="48">
        <v>26000</v>
      </c>
      <c r="C213" s="48">
        <v>-800</v>
      </c>
      <c r="D213" s="48">
        <v>14296.8</v>
      </c>
      <c r="E213" s="46">
        <f>B213+C213+D213</f>
        <v>39496.8</v>
      </c>
      <c r="F213" s="48"/>
      <c r="G213" s="48">
        <v>-2000</v>
      </c>
      <c r="H213" s="46">
        <f>SUM(E213:G213)</f>
        <v>37496.8</v>
      </c>
      <c r="I213" s="48">
        <v>1000</v>
      </c>
      <c r="J213" s="48"/>
      <c r="K213" s="46">
        <f>SUM(H213:J213)</f>
        <v>38496.8</v>
      </c>
      <c r="L213" s="48">
        <f>2000+62.5-150</f>
        <v>1912.5</v>
      </c>
      <c r="M213" s="48"/>
      <c r="N213" s="46">
        <f>SUM(K213:M213)</f>
        <v>40409.3</v>
      </c>
    </row>
    <row r="214" spans="1:14" ht="12" customHeight="1" hidden="1">
      <c r="A214" s="8" t="s">
        <v>81</v>
      </c>
      <c r="B214" s="40"/>
      <c r="C214" s="40"/>
      <c r="D214" s="40"/>
      <c r="E214" s="42">
        <f>B214+C214</f>
        <v>0</v>
      </c>
      <c r="F214" s="40"/>
      <c r="G214" s="40"/>
      <c r="H214" s="42">
        <f>E214+F214</f>
        <v>0</v>
      </c>
      <c r="I214" s="40"/>
      <c r="J214" s="40"/>
      <c r="K214" s="42">
        <f>H214+I214</f>
        <v>0</v>
      </c>
      <c r="L214" s="40"/>
      <c r="M214" s="40"/>
      <c r="N214" s="42">
        <f>K214+L214</f>
        <v>0</v>
      </c>
    </row>
    <row r="215" spans="1:14" ht="12" customHeight="1" hidden="1">
      <c r="A215" s="8" t="s">
        <v>152</v>
      </c>
      <c r="B215" s="40"/>
      <c r="C215" s="40"/>
      <c r="D215" s="40"/>
      <c r="E215" s="42">
        <f>B215+C215</f>
        <v>0</v>
      </c>
      <c r="F215" s="40"/>
      <c r="G215" s="40"/>
      <c r="H215" s="42">
        <f>E215+F215</f>
        <v>0</v>
      </c>
      <c r="I215" s="40"/>
      <c r="J215" s="40"/>
      <c r="K215" s="42">
        <f>H215+I215</f>
        <v>0</v>
      </c>
      <c r="L215" s="40"/>
      <c r="M215" s="40"/>
      <c r="N215" s="42">
        <f>K215+L215</f>
        <v>0</v>
      </c>
    </row>
    <row r="216" spans="1:14" ht="19.5" customHeight="1">
      <c r="A216" s="2" t="s">
        <v>17</v>
      </c>
      <c r="B216" s="39">
        <f aca="true" t="shared" si="40" ref="B216:N216">B217+B236</f>
        <v>469830</v>
      </c>
      <c r="C216" s="39">
        <f t="shared" si="40"/>
        <v>1040168.5</v>
      </c>
      <c r="D216" s="39">
        <f t="shared" si="40"/>
        <v>-102879.40000000001</v>
      </c>
      <c r="E216" s="39">
        <f t="shared" si="40"/>
        <v>1407119.0999999999</v>
      </c>
      <c r="F216" s="39">
        <f t="shared" si="40"/>
        <v>1050266.6</v>
      </c>
      <c r="G216" s="39">
        <f t="shared" si="40"/>
        <v>20225.2</v>
      </c>
      <c r="H216" s="39">
        <f t="shared" si="40"/>
        <v>2477610.9000000004</v>
      </c>
      <c r="I216" s="39">
        <f t="shared" si="40"/>
        <v>1040507.8</v>
      </c>
      <c r="J216" s="39">
        <f t="shared" si="40"/>
        <v>4541.2</v>
      </c>
      <c r="K216" s="39">
        <f t="shared" si="40"/>
        <v>3522659.900000001</v>
      </c>
      <c r="L216" s="39">
        <f t="shared" si="40"/>
        <v>975979.0000000001</v>
      </c>
      <c r="M216" s="39">
        <f t="shared" si="40"/>
        <v>0</v>
      </c>
      <c r="N216" s="39">
        <f t="shared" si="40"/>
        <v>4498638.9</v>
      </c>
    </row>
    <row r="217" spans="1:14" ht="15" customHeight="1">
      <c r="A217" s="6" t="s">
        <v>34</v>
      </c>
      <c r="B217" s="44">
        <f>SUM(B219:B235)</f>
        <v>321330</v>
      </c>
      <c r="C217" s="44">
        <f>SUM(C219:C235)</f>
        <v>1040168.5</v>
      </c>
      <c r="D217" s="44">
        <f>SUM(D219:D235)</f>
        <v>995.3999999999996</v>
      </c>
      <c r="E217" s="44">
        <f>B217+C217+D217</f>
        <v>1362493.9</v>
      </c>
      <c r="F217" s="44">
        <f>SUM(F219:F235)</f>
        <v>1049743.7000000002</v>
      </c>
      <c r="G217" s="44">
        <f>SUM(G219:G235)</f>
        <v>20225.2</v>
      </c>
      <c r="H217" s="44">
        <f>E217+F217+G217</f>
        <v>2432462.8000000003</v>
      </c>
      <c r="I217" s="44">
        <f>SUM(I219:I235)</f>
        <v>1040507.8</v>
      </c>
      <c r="J217" s="44">
        <f>SUM(J219:J235)</f>
        <v>4541.2</v>
      </c>
      <c r="K217" s="44">
        <f>H217+I217+J217</f>
        <v>3477511.8000000007</v>
      </c>
      <c r="L217" s="44">
        <f>SUM(L219:L235)</f>
        <v>1006887.8000000002</v>
      </c>
      <c r="M217" s="44">
        <f>SUM(M219:M235)</f>
        <v>0</v>
      </c>
      <c r="N217" s="44">
        <f>K217+L217+M217</f>
        <v>4484399.600000001</v>
      </c>
    </row>
    <row r="218" spans="1:14" ht="10.5" customHeight="1">
      <c r="A218" s="10" t="s">
        <v>1</v>
      </c>
      <c r="B218" s="40"/>
      <c r="C218" s="40"/>
      <c r="D218" s="40"/>
      <c r="E218" s="42"/>
      <c r="F218" s="40"/>
      <c r="G218" s="40"/>
      <c r="H218" s="42"/>
      <c r="I218" s="40"/>
      <c r="J218" s="40"/>
      <c r="K218" s="42"/>
      <c r="L218" s="40"/>
      <c r="M218" s="40"/>
      <c r="N218" s="42"/>
    </row>
    <row r="219" spans="1:14" ht="12.75" customHeight="1">
      <c r="A219" s="5" t="s">
        <v>18</v>
      </c>
      <c r="B219" s="42">
        <v>298668</v>
      </c>
      <c r="C219" s="42"/>
      <c r="D219" s="42">
        <v>5016.4</v>
      </c>
      <c r="E219" s="42">
        <f>B219+C219+D219</f>
        <v>303684.4</v>
      </c>
      <c r="F219" s="42">
        <v>-59</v>
      </c>
      <c r="G219" s="42">
        <v>10600</v>
      </c>
      <c r="H219" s="42">
        <f>E219+F219+G219</f>
        <v>314225.4</v>
      </c>
      <c r="I219" s="42"/>
      <c r="J219" s="42">
        <v>11906.9</v>
      </c>
      <c r="K219" s="42">
        <f>H219+I219+J219</f>
        <v>326132.30000000005</v>
      </c>
      <c r="L219" s="42"/>
      <c r="M219" s="42"/>
      <c r="N219" s="42">
        <f>K219+L219+M219</f>
        <v>326132.30000000005</v>
      </c>
    </row>
    <row r="220" spans="1:14" ht="12.75" customHeight="1">
      <c r="A220" s="5" t="s">
        <v>32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</row>
    <row r="221" spans="1:14" ht="12.75" customHeight="1">
      <c r="A221" s="5" t="s">
        <v>29</v>
      </c>
      <c r="B221" s="42"/>
      <c r="C221" s="42">
        <v>389516</v>
      </c>
      <c r="D221" s="42"/>
      <c r="E221" s="42">
        <f>B221+C221+D221</f>
        <v>389516</v>
      </c>
      <c r="F221" s="42">
        <f>392090+2665.8</f>
        <v>394755.8</v>
      </c>
      <c r="G221" s="42"/>
      <c r="H221" s="42">
        <f aca="true" t="shared" si="41" ref="H221:H229">E221+F221+G221</f>
        <v>784271.8</v>
      </c>
      <c r="I221" s="42">
        <f>372642.3+22390-7436.8</f>
        <v>387595.5</v>
      </c>
      <c r="J221" s="42"/>
      <c r="K221" s="42">
        <f aca="true" t="shared" si="42" ref="K221:K229">H221+I221+J221</f>
        <v>1171867.3</v>
      </c>
      <c r="L221" s="42">
        <f>386315.5+2789+2000+73.1</f>
        <v>391177.6</v>
      </c>
      <c r="M221" s="42"/>
      <c r="N221" s="42">
        <f aca="true" t="shared" si="43" ref="N221:N236">K221+L221+M221</f>
        <v>1563044.9</v>
      </c>
    </row>
    <row r="222" spans="1:14" ht="12.75" customHeight="1">
      <c r="A222" s="5" t="s">
        <v>30</v>
      </c>
      <c r="B222" s="42"/>
      <c r="C222" s="42">
        <v>42480</v>
      </c>
      <c r="D222" s="42"/>
      <c r="E222" s="42">
        <f>B222+C222</f>
        <v>42480</v>
      </c>
      <c r="F222" s="42">
        <v>39763</v>
      </c>
      <c r="G222" s="42"/>
      <c r="H222" s="42">
        <f t="shared" si="41"/>
        <v>82243</v>
      </c>
      <c r="I222" s="42">
        <f>40927+2917+20</f>
        <v>43864</v>
      </c>
      <c r="J222" s="42"/>
      <c r="K222" s="42">
        <f t="shared" si="42"/>
        <v>126107</v>
      </c>
      <c r="L222" s="42">
        <v>235</v>
      </c>
      <c r="M222" s="42"/>
      <c r="N222" s="42">
        <f t="shared" si="43"/>
        <v>126342</v>
      </c>
    </row>
    <row r="223" spans="1:14" ht="12.75" customHeight="1">
      <c r="A223" s="5" t="s">
        <v>31</v>
      </c>
      <c r="B223" s="42"/>
      <c r="C223" s="42">
        <v>606332</v>
      </c>
      <c r="D223" s="42"/>
      <c r="E223" s="42">
        <f>B223+C223+D223</f>
        <v>606332</v>
      </c>
      <c r="F223" s="42">
        <f>608160+1180</f>
        <v>609340</v>
      </c>
      <c r="G223" s="42"/>
      <c r="H223" s="42">
        <f t="shared" si="41"/>
        <v>1215672</v>
      </c>
      <c r="I223" s="42">
        <f>1653.6+597869.7+300+561+7436.8-20</f>
        <v>607801.1</v>
      </c>
      <c r="J223" s="42"/>
      <c r="K223" s="42">
        <f t="shared" si="42"/>
        <v>1823473.1</v>
      </c>
      <c r="L223" s="42">
        <f>-3.4+610014.5+966.8</f>
        <v>610977.9</v>
      </c>
      <c r="M223" s="42"/>
      <c r="N223" s="42">
        <f t="shared" si="43"/>
        <v>2434451</v>
      </c>
    </row>
    <row r="224" spans="1:14" ht="12.75" customHeight="1">
      <c r="A224" s="5" t="s">
        <v>104</v>
      </c>
      <c r="B224" s="42"/>
      <c r="C224" s="42"/>
      <c r="D224" s="42"/>
      <c r="E224" s="42">
        <f aca="true" t="shared" si="44" ref="E224:E229">B224+C224</f>
        <v>0</v>
      </c>
      <c r="F224" s="42">
        <v>12</v>
      </c>
      <c r="G224" s="42"/>
      <c r="H224" s="42">
        <f t="shared" si="41"/>
        <v>12</v>
      </c>
      <c r="I224" s="42"/>
      <c r="J224" s="42"/>
      <c r="K224" s="42">
        <f t="shared" si="42"/>
        <v>12</v>
      </c>
      <c r="L224" s="42"/>
      <c r="M224" s="42"/>
      <c r="N224" s="42">
        <f t="shared" si="43"/>
        <v>12</v>
      </c>
    </row>
    <row r="225" spans="1:14" ht="12.75" customHeight="1">
      <c r="A225" s="5" t="s">
        <v>45</v>
      </c>
      <c r="B225" s="42"/>
      <c r="C225" s="42">
        <f>14+31.3+8</f>
        <v>53.3</v>
      </c>
      <c r="D225" s="42"/>
      <c r="E225" s="42">
        <f t="shared" si="44"/>
        <v>53.3</v>
      </c>
      <c r="F225" s="42">
        <f>22.8+7</f>
        <v>29.8</v>
      </c>
      <c r="G225" s="42"/>
      <c r="H225" s="42">
        <f t="shared" si="41"/>
        <v>83.1</v>
      </c>
      <c r="I225" s="42">
        <v>26.6</v>
      </c>
      <c r="J225" s="42"/>
      <c r="K225" s="42">
        <f t="shared" si="42"/>
        <v>109.69999999999999</v>
      </c>
      <c r="L225" s="42">
        <v>64.8</v>
      </c>
      <c r="M225" s="42"/>
      <c r="N225" s="42">
        <f t="shared" si="43"/>
        <v>174.5</v>
      </c>
    </row>
    <row r="226" spans="1:14" ht="12.75" customHeight="1">
      <c r="A226" s="5" t="s">
        <v>118</v>
      </c>
      <c r="B226" s="42"/>
      <c r="C226" s="42">
        <v>1787.2</v>
      </c>
      <c r="D226" s="42"/>
      <c r="E226" s="42">
        <f t="shared" si="44"/>
        <v>1787.2</v>
      </c>
      <c r="F226" s="42">
        <v>1086</v>
      </c>
      <c r="G226" s="42"/>
      <c r="H226" s="42">
        <f t="shared" si="41"/>
        <v>2873.2</v>
      </c>
      <c r="I226" s="42">
        <v>767.3</v>
      </c>
      <c r="J226" s="42"/>
      <c r="K226" s="42">
        <f t="shared" si="42"/>
        <v>3640.5</v>
      </c>
      <c r="L226" s="42">
        <v>867.8</v>
      </c>
      <c r="M226" s="42"/>
      <c r="N226" s="42">
        <f t="shared" si="43"/>
        <v>4508.3</v>
      </c>
    </row>
    <row r="227" spans="1:14" ht="12.75" customHeight="1">
      <c r="A227" s="5" t="s">
        <v>90</v>
      </c>
      <c r="B227" s="42"/>
      <c r="C227" s="42"/>
      <c r="D227" s="42"/>
      <c r="E227" s="42">
        <f t="shared" si="44"/>
        <v>0</v>
      </c>
      <c r="F227" s="42">
        <v>770</v>
      </c>
      <c r="G227" s="42"/>
      <c r="H227" s="42">
        <f t="shared" si="41"/>
        <v>770</v>
      </c>
      <c r="I227" s="42"/>
      <c r="J227" s="42"/>
      <c r="K227" s="42">
        <f t="shared" si="42"/>
        <v>770</v>
      </c>
      <c r="L227" s="42"/>
      <c r="M227" s="42"/>
      <c r="N227" s="42">
        <f t="shared" si="43"/>
        <v>770</v>
      </c>
    </row>
    <row r="228" spans="1:14" ht="12.75" customHeight="1">
      <c r="A228" s="5" t="s">
        <v>91</v>
      </c>
      <c r="B228" s="42"/>
      <c r="C228" s="42"/>
      <c r="D228" s="42"/>
      <c r="E228" s="42">
        <f t="shared" si="44"/>
        <v>0</v>
      </c>
      <c r="F228" s="42"/>
      <c r="G228" s="42"/>
      <c r="H228" s="42">
        <f t="shared" si="41"/>
        <v>0</v>
      </c>
      <c r="I228" s="42">
        <v>352.4</v>
      </c>
      <c r="J228" s="42"/>
      <c r="K228" s="42">
        <f t="shared" si="42"/>
        <v>352.4</v>
      </c>
      <c r="L228" s="42">
        <f>-134</f>
        <v>-134</v>
      </c>
      <c r="M228" s="42"/>
      <c r="N228" s="42">
        <f t="shared" si="43"/>
        <v>218.39999999999998</v>
      </c>
    </row>
    <row r="229" spans="1:14" ht="12.75" customHeight="1">
      <c r="A229" s="5" t="s">
        <v>114</v>
      </c>
      <c r="B229" s="42"/>
      <c r="C229" s="42"/>
      <c r="D229" s="42"/>
      <c r="E229" s="42">
        <f t="shared" si="44"/>
        <v>0</v>
      </c>
      <c r="F229" s="42"/>
      <c r="G229" s="42"/>
      <c r="H229" s="42">
        <f t="shared" si="41"/>
        <v>0</v>
      </c>
      <c r="I229" s="42">
        <v>100.9</v>
      </c>
      <c r="J229" s="42"/>
      <c r="K229" s="42">
        <f t="shared" si="42"/>
        <v>100.9</v>
      </c>
      <c r="L229" s="42">
        <f>-12</f>
        <v>-12</v>
      </c>
      <c r="M229" s="42"/>
      <c r="N229" s="42">
        <f t="shared" si="43"/>
        <v>88.9</v>
      </c>
    </row>
    <row r="230" spans="1:14" ht="12.75" customHeight="1">
      <c r="A230" s="5" t="s">
        <v>239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>
        <v>200</v>
      </c>
      <c r="M230" s="42"/>
      <c r="N230" s="42">
        <f t="shared" si="43"/>
        <v>200</v>
      </c>
    </row>
    <row r="231" spans="1:14" ht="12.75" customHeight="1">
      <c r="A231" s="5" t="s">
        <v>240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>
        <v>264.9</v>
      </c>
      <c r="M231" s="42"/>
      <c r="N231" s="42">
        <f t="shared" si="43"/>
        <v>264.9</v>
      </c>
    </row>
    <row r="232" spans="1:14" ht="12.75" customHeight="1">
      <c r="A232" s="5" t="s">
        <v>241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>
        <v>365.8</v>
      </c>
      <c r="M232" s="42"/>
      <c r="N232" s="42">
        <f t="shared" si="43"/>
        <v>365.8</v>
      </c>
    </row>
    <row r="233" spans="1:14" ht="12.75" customHeight="1">
      <c r="A233" s="5" t="s">
        <v>228</v>
      </c>
      <c r="B233" s="42"/>
      <c r="C233" s="42"/>
      <c r="D233" s="42"/>
      <c r="E233" s="42"/>
      <c r="F233" s="42"/>
      <c r="G233" s="42"/>
      <c r="H233" s="42"/>
      <c r="I233" s="42"/>
      <c r="J233" s="42">
        <v>500</v>
      </c>
      <c r="K233" s="42">
        <f>H233+I233+J233</f>
        <v>500</v>
      </c>
      <c r="L233" s="42"/>
      <c r="M233" s="42"/>
      <c r="N233" s="42">
        <f t="shared" si="43"/>
        <v>500</v>
      </c>
    </row>
    <row r="234" spans="1:14" ht="12.75" customHeight="1">
      <c r="A234" s="5" t="s">
        <v>44</v>
      </c>
      <c r="B234" s="42"/>
      <c r="C234" s="42"/>
      <c r="D234" s="42"/>
      <c r="E234" s="42"/>
      <c r="F234" s="42">
        <v>4357.1</v>
      </c>
      <c r="G234" s="42"/>
      <c r="H234" s="42">
        <f>E234+F234+G234</f>
        <v>4357.1</v>
      </c>
      <c r="I234" s="42"/>
      <c r="J234" s="42"/>
      <c r="K234" s="42">
        <f>H234+I234+J234</f>
        <v>4357.1</v>
      </c>
      <c r="L234" s="42"/>
      <c r="M234" s="42"/>
      <c r="N234" s="42">
        <f t="shared" si="43"/>
        <v>4357.1</v>
      </c>
    </row>
    <row r="235" spans="1:14" ht="12.75" customHeight="1">
      <c r="A235" s="4" t="s">
        <v>9</v>
      </c>
      <c r="B235" s="42">
        <v>22662</v>
      </c>
      <c r="C235" s="42"/>
      <c r="D235" s="42">
        <v>-4021</v>
      </c>
      <c r="E235" s="42">
        <f>B235+C235+D235</f>
        <v>18641</v>
      </c>
      <c r="F235" s="42">
        <v>-311</v>
      </c>
      <c r="G235" s="42">
        <v>9625.2</v>
      </c>
      <c r="H235" s="42">
        <f>E235+F235+G235</f>
        <v>27955.2</v>
      </c>
      <c r="I235" s="42"/>
      <c r="J235" s="42">
        <v>-7865.7</v>
      </c>
      <c r="K235" s="42">
        <f>H235+I235+J235</f>
        <v>20089.5</v>
      </c>
      <c r="L235" s="42">
        <v>2880</v>
      </c>
      <c r="M235" s="42"/>
      <c r="N235" s="42">
        <f t="shared" si="43"/>
        <v>22969.5</v>
      </c>
    </row>
    <row r="236" spans="1:14" ht="15" customHeight="1">
      <c r="A236" s="13" t="s">
        <v>35</v>
      </c>
      <c r="B236" s="45">
        <f>SUM(B240:B241)</f>
        <v>148500</v>
      </c>
      <c r="C236" s="45">
        <f>SUM(C240:C241)</f>
        <v>0</v>
      </c>
      <c r="D236" s="45">
        <f>SUM(D240:D241)</f>
        <v>-103874.8</v>
      </c>
      <c r="E236" s="44">
        <f>B236+C236+D236</f>
        <v>44625.2</v>
      </c>
      <c r="F236" s="45">
        <f>SUM(F238:F241)</f>
        <v>522.9</v>
      </c>
      <c r="G236" s="45">
        <f>SUM(G240:G241)</f>
        <v>0</v>
      </c>
      <c r="H236" s="44">
        <f>E236+F236+G236</f>
        <v>45148.1</v>
      </c>
      <c r="I236" s="45">
        <f>SUM(I238:I241)</f>
        <v>0</v>
      </c>
      <c r="J236" s="45">
        <f>SUM(J240:J241)</f>
        <v>0</v>
      </c>
      <c r="K236" s="44">
        <f>H236+I236+J236</f>
        <v>45148.1</v>
      </c>
      <c r="L236" s="45">
        <f>SUM(L238:L241)</f>
        <v>-30908.8</v>
      </c>
      <c r="M236" s="45">
        <f>SUM(M240:M241)</f>
        <v>0</v>
      </c>
      <c r="N236" s="44">
        <f t="shared" si="43"/>
        <v>14239.3</v>
      </c>
    </row>
    <row r="237" spans="1:14" ht="10.5" customHeight="1">
      <c r="A237" s="3" t="s">
        <v>1</v>
      </c>
      <c r="B237" s="42"/>
      <c r="C237" s="42"/>
      <c r="D237" s="42"/>
      <c r="E237" s="39"/>
      <c r="F237" s="42"/>
      <c r="G237" s="42"/>
      <c r="H237" s="39"/>
      <c r="I237" s="42"/>
      <c r="J237" s="42"/>
      <c r="K237" s="39"/>
      <c r="L237" s="42"/>
      <c r="M237" s="42"/>
      <c r="N237" s="39"/>
    </row>
    <row r="238" spans="1:14" ht="12.75" customHeight="1">
      <c r="A238" s="5" t="s">
        <v>146</v>
      </c>
      <c r="B238" s="42"/>
      <c r="C238" s="42"/>
      <c r="D238" s="42"/>
      <c r="E238" s="39"/>
      <c r="F238" s="42">
        <v>370</v>
      </c>
      <c r="G238" s="42"/>
      <c r="H238" s="42">
        <f>E238+F238+G238</f>
        <v>370</v>
      </c>
      <c r="I238" s="42"/>
      <c r="J238" s="42"/>
      <c r="K238" s="42">
        <f>H238+I238+J238</f>
        <v>370</v>
      </c>
      <c r="L238" s="42"/>
      <c r="M238" s="42"/>
      <c r="N238" s="42">
        <f>K238+L238+M238</f>
        <v>370</v>
      </c>
    </row>
    <row r="239" spans="1:14" ht="12.75" customHeight="1">
      <c r="A239" s="5" t="s">
        <v>241</v>
      </c>
      <c r="B239" s="42"/>
      <c r="C239" s="42"/>
      <c r="D239" s="42"/>
      <c r="E239" s="39"/>
      <c r="F239" s="42"/>
      <c r="G239" s="42"/>
      <c r="H239" s="42"/>
      <c r="I239" s="42"/>
      <c r="J239" s="42"/>
      <c r="K239" s="42"/>
      <c r="L239" s="42">
        <v>562</v>
      </c>
      <c r="M239" s="42"/>
      <c r="N239" s="42">
        <f>K239+L239+M239</f>
        <v>562</v>
      </c>
    </row>
    <row r="240" spans="1:14" ht="12.75" customHeight="1">
      <c r="A240" s="8" t="s">
        <v>44</v>
      </c>
      <c r="B240" s="40"/>
      <c r="C240" s="40"/>
      <c r="D240" s="40"/>
      <c r="E240" s="42">
        <f>B240+C240+D240</f>
        <v>0</v>
      </c>
      <c r="F240" s="40">
        <v>152.9</v>
      </c>
      <c r="G240" s="40"/>
      <c r="H240" s="42">
        <f>E240+F240+G240</f>
        <v>152.9</v>
      </c>
      <c r="I240" s="40"/>
      <c r="J240" s="40"/>
      <c r="K240" s="42">
        <f>H240+I240+J240</f>
        <v>152.9</v>
      </c>
      <c r="L240" s="40"/>
      <c r="M240" s="40"/>
      <c r="N240" s="42">
        <f>K240+L240+M240</f>
        <v>152.9</v>
      </c>
    </row>
    <row r="241" spans="1:14" ht="12.75" customHeight="1">
      <c r="A241" s="37" t="s">
        <v>133</v>
      </c>
      <c r="B241" s="48">
        <v>148500</v>
      </c>
      <c r="C241" s="48"/>
      <c r="D241" s="48">
        <v>-103874.8</v>
      </c>
      <c r="E241" s="46">
        <f>B241+C241+D241</f>
        <v>44625.2</v>
      </c>
      <c r="F241" s="48"/>
      <c r="G241" s="48"/>
      <c r="H241" s="46">
        <f>E241+F241+G241</f>
        <v>44625.2</v>
      </c>
      <c r="I241" s="48"/>
      <c r="J241" s="48"/>
      <c r="K241" s="46">
        <f>H241+I241+J241</f>
        <v>44625.2</v>
      </c>
      <c r="L241" s="48">
        <v>-31470.8</v>
      </c>
      <c r="M241" s="48"/>
      <c r="N241" s="46">
        <f>K241+L241+M241</f>
        <v>13154.399999999998</v>
      </c>
    </row>
    <row r="242" spans="1:14" ht="19.5" customHeight="1">
      <c r="A242" s="2" t="s">
        <v>19</v>
      </c>
      <c r="B242" s="39">
        <f aca="true" t="shared" si="45" ref="B242:N242">B243+B254</f>
        <v>314796.1</v>
      </c>
      <c r="C242" s="39">
        <f t="shared" si="45"/>
        <v>50440.4</v>
      </c>
      <c r="D242" s="39">
        <f t="shared" si="45"/>
        <v>3022.4</v>
      </c>
      <c r="E242" s="39">
        <f t="shared" si="45"/>
        <v>368258.9</v>
      </c>
      <c r="F242" s="39">
        <f t="shared" si="45"/>
        <v>23743.8</v>
      </c>
      <c r="G242" s="39">
        <f t="shared" si="45"/>
        <v>9589.8</v>
      </c>
      <c r="H242" s="39">
        <f t="shared" si="45"/>
        <v>401592.5</v>
      </c>
      <c r="I242" s="39">
        <f t="shared" si="45"/>
        <v>955.2</v>
      </c>
      <c r="J242" s="39">
        <f t="shared" si="45"/>
        <v>-4734.699999999997</v>
      </c>
      <c r="K242" s="39">
        <f t="shared" si="45"/>
        <v>397813</v>
      </c>
      <c r="L242" s="39">
        <f t="shared" si="45"/>
        <v>426.5</v>
      </c>
      <c r="M242" s="39">
        <f t="shared" si="45"/>
        <v>0</v>
      </c>
      <c r="N242" s="39">
        <f t="shared" si="45"/>
        <v>398239.5</v>
      </c>
    </row>
    <row r="243" spans="1:14" ht="12.75" customHeight="1">
      <c r="A243" s="6" t="s">
        <v>34</v>
      </c>
      <c r="B243" s="44">
        <f>SUM(B245:B253)</f>
        <v>299181</v>
      </c>
      <c r="C243" s="44">
        <f>SUM(C245:C253)</f>
        <v>50440.4</v>
      </c>
      <c r="D243" s="44">
        <f>SUM(D245:D253)</f>
        <v>3000</v>
      </c>
      <c r="E243" s="44">
        <f>B243+C243+D243</f>
        <v>352621.4</v>
      </c>
      <c r="F243" s="44">
        <f>SUM(F245:F253)</f>
        <v>19543.8</v>
      </c>
      <c r="G243" s="44">
        <f>SUM(G245:G253)</f>
        <v>9546.8</v>
      </c>
      <c r="H243" s="44">
        <f>E243+F243+G243</f>
        <v>381712</v>
      </c>
      <c r="I243" s="44">
        <f>SUM(I245:I253)</f>
        <v>955.2</v>
      </c>
      <c r="J243" s="44">
        <f>SUM(J245:J253)</f>
        <v>-55606.7</v>
      </c>
      <c r="K243" s="44">
        <f>H243+I243+J243</f>
        <v>327060.5</v>
      </c>
      <c r="L243" s="44">
        <f>SUM(L245:L253)</f>
        <v>426.5</v>
      </c>
      <c r="M243" s="44">
        <f>SUM(M245:M253)</f>
        <v>0</v>
      </c>
      <c r="N243" s="44">
        <f>K243+L243+M243</f>
        <v>327487</v>
      </c>
    </row>
    <row r="244" spans="1:14" ht="10.5" customHeight="1">
      <c r="A244" s="3" t="s">
        <v>1</v>
      </c>
      <c r="B244" s="42"/>
      <c r="C244" s="42"/>
      <c r="D244" s="42"/>
      <c r="E244" s="39"/>
      <c r="F244" s="42"/>
      <c r="G244" s="42"/>
      <c r="H244" s="39"/>
      <c r="I244" s="42"/>
      <c r="J244" s="42"/>
      <c r="K244" s="39"/>
      <c r="L244" s="42"/>
      <c r="M244" s="42"/>
      <c r="N244" s="39"/>
    </row>
    <row r="245" spans="1:14" ht="12.75" customHeight="1">
      <c r="A245" s="8" t="s">
        <v>18</v>
      </c>
      <c r="B245" s="40">
        <v>189798</v>
      </c>
      <c r="C245" s="40"/>
      <c r="D245" s="40"/>
      <c r="E245" s="42">
        <f>B245+C245+D245</f>
        <v>189798</v>
      </c>
      <c r="F245" s="40"/>
      <c r="G245" s="40"/>
      <c r="H245" s="42">
        <f>E245+F245+G245</f>
        <v>189798</v>
      </c>
      <c r="I245" s="40"/>
      <c r="J245" s="40">
        <v>-744</v>
      </c>
      <c r="K245" s="42">
        <f aca="true" t="shared" si="46" ref="K245:K254">H245+I245+J245</f>
        <v>189054</v>
      </c>
      <c r="L245" s="40"/>
      <c r="M245" s="40"/>
      <c r="N245" s="42">
        <f aca="true" t="shared" si="47" ref="N245:N254">K245+L245+M245</f>
        <v>189054</v>
      </c>
    </row>
    <row r="246" spans="1:14" ht="12.75" customHeight="1">
      <c r="A246" s="5" t="s">
        <v>141</v>
      </c>
      <c r="B246" s="42">
        <v>68960</v>
      </c>
      <c r="C246" s="42"/>
      <c r="D246" s="42"/>
      <c r="E246" s="42">
        <f>B246+C246+D246</f>
        <v>68960</v>
      </c>
      <c r="F246" s="42">
        <f>19543.8+500</f>
        <v>20043.8</v>
      </c>
      <c r="G246" s="42">
        <v>9589.8</v>
      </c>
      <c r="H246" s="42">
        <f>E246+F246+G246</f>
        <v>98593.6</v>
      </c>
      <c r="I246" s="42"/>
      <c r="J246" s="42">
        <v>5362.3</v>
      </c>
      <c r="K246" s="42">
        <f t="shared" si="46"/>
        <v>103955.90000000001</v>
      </c>
      <c r="L246" s="42">
        <v>4500</v>
      </c>
      <c r="M246" s="42"/>
      <c r="N246" s="42">
        <f t="shared" si="47"/>
        <v>108455.90000000001</v>
      </c>
    </row>
    <row r="247" spans="1:14" ht="12.75" customHeight="1">
      <c r="A247" s="5" t="s">
        <v>9</v>
      </c>
      <c r="B247" s="42">
        <v>36242</v>
      </c>
      <c r="C247" s="42"/>
      <c r="D247" s="42"/>
      <c r="E247" s="42">
        <f>B247+C247+D247</f>
        <v>36242</v>
      </c>
      <c r="F247" s="42">
        <v>-500</v>
      </c>
      <c r="G247" s="42">
        <v>2957</v>
      </c>
      <c r="H247" s="42">
        <f>E247+F247+G247</f>
        <v>38699</v>
      </c>
      <c r="I247" s="42">
        <v>100</v>
      </c>
      <c r="J247" s="42">
        <v>-10225</v>
      </c>
      <c r="K247" s="42">
        <f t="shared" si="46"/>
        <v>28574</v>
      </c>
      <c r="L247" s="42">
        <f>-4500-100</f>
        <v>-4600</v>
      </c>
      <c r="M247" s="42"/>
      <c r="N247" s="42">
        <f t="shared" si="47"/>
        <v>23974</v>
      </c>
    </row>
    <row r="248" spans="1:14" ht="12.75" customHeight="1">
      <c r="A248" s="5" t="s">
        <v>168</v>
      </c>
      <c r="B248" s="42"/>
      <c r="C248" s="42">
        <v>440.4</v>
      </c>
      <c r="D248" s="42"/>
      <c r="E248" s="42">
        <f>B248+C248+D248</f>
        <v>440.4</v>
      </c>
      <c r="F248" s="42"/>
      <c r="G248" s="42"/>
      <c r="H248" s="42">
        <f>E248+F248+G248</f>
        <v>440.4</v>
      </c>
      <c r="I248" s="42">
        <v>555.7</v>
      </c>
      <c r="J248" s="42"/>
      <c r="K248" s="42">
        <f t="shared" si="46"/>
        <v>996.1</v>
      </c>
      <c r="L248" s="42">
        <v>526.5</v>
      </c>
      <c r="M248" s="42"/>
      <c r="N248" s="42">
        <f t="shared" si="47"/>
        <v>1522.6</v>
      </c>
    </row>
    <row r="249" spans="1:14" ht="12.75" customHeight="1">
      <c r="A249" s="5" t="s">
        <v>224</v>
      </c>
      <c r="B249" s="42"/>
      <c r="C249" s="42"/>
      <c r="D249" s="42"/>
      <c r="E249" s="42"/>
      <c r="F249" s="42"/>
      <c r="G249" s="42"/>
      <c r="H249" s="42"/>
      <c r="I249" s="42">
        <v>119.5</v>
      </c>
      <c r="J249" s="42"/>
      <c r="K249" s="42">
        <f t="shared" si="46"/>
        <v>119.5</v>
      </c>
      <c r="L249" s="42"/>
      <c r="M249" s="42"/>
      <c r="N249" s="42">
        <f t="shared" si="47"/>
        <v>119.5</v>
      </c>
    </row>
    <row r="250" spans="1:14" ht="12.75" customHeight="1">
      <c r="A250" s="5" t="s">
        <v>225</v>
      </c>
      <c r="B250" s="42"/>
      <c r="C250" s="42"/>
      <c r="D250" s="42"/>
      <c r="E250" s="42"/>
      <c r="F250" s="42"/>
      <c r="G250" s="42"/>
      <c r="H250" s="42"/>
      <c r="I250" s="42">
        <f>50+130</f>
        <v>180</v>
      </c>
      <c r="J250" s="42"/>
      <c r="K250" s="42">
        <f t="shared" si="46"/>
        <v>180</v>
      </c>
      <c r="L250" s="42"/>
      <c r="M250" s="42"/>
      <c r="N250" s="42">
        <f t="shared" si="47"/>
        <v>180</v>
      </c>
    </row>
    <row r="251" spans="1:14" ht="12.75" customHeight="1">
      <c r="A251" s="5" t="s">
        <v>176</v>
      </c>
      <c r="B251" s="42"/>
      <c r="C251" s="42">
        <v>50000</v>
      </c>
      <c r="D251" s="42"/>
      <c r="E251" s="42">
        <f>B251+C251+D251</f>
        <v>50000</v>
      </c>
      <c r="F251" s="42"/>
      <c r="G251" s="42"/>
      <c r="H251" s="42">
        <f>E251+F251+G251</f>
        <v>50000</v>
      </c>
      <c r="I251" s="42"/>
      <c r="J251" s="42">
        <v>-50000</v>
      </c>
      <c r="K251" s="42">
        <f t="shared" si="46"/>
        <v>0</v>
      </c>
      <c r="L251" s="42"/>
      <c r="M251" s="42"/>
      <c r="N251" s="42">
        <f t="shared" si="47"/>
        <v>0</v>
      </c>
    </row>
    <row r="252" spans="1:14" ht="12.75" customHeight="1">
      <c r="A252" s="5" t="s">
        <v>55</v>
      </c>
      <c r="B252" s="42"/>
      <c r="C252" s="42"/>
      <c r="D252" s="42">
        <v>3000</v>
      </c>
      <c r="E252" s="42">
        <f>B252+C252+D252</f>
        <v>3000</v>
      </c>
      <c r="F252" s="42"/>
      <c r="G252" s="42">
        <v>-3000</v>
      </c>
      <c r="H252" s="42">
        <f>E252+F252+G252</f>
        <v>0</v>
      </c>
      <c r="I252" s="42"/>
      <c r="J252" s="42"/>
      <c r="K252" s="42">
        <f t="shared" si="46"/>
        <v>0</v>
      </c>
      <c r="L252" s="42"/>
      <c r="M252" s="42"/>
      <c r="N252" s="42">
        <f t="shared" si="47"/>
        <v>0</v>
      </c>
    </row>
    <row r="253" spans="1:14" ht="12.75" customHeight="1">
      <c r="A253" s="4" t="s">
        <v>134</v>
      </c>
      <c r="B253" s="42">
        <v>4181</v>
      </c>
      <c r="C253" s="42"/>
      <c r="D253" s="42"/>
      <c r="E253" s="42">
        <f>B253+C253+D253</f>
        <v>4181</v>
      </c>
      <c r="F253" s="42"/>
      <c r="G253" s="42"/>
      <c r="H253" s="42">
        <f>E253+F253+G253</f>
        <v>4181</v>
      </c>
      <c r="I253" s="42"/>
      <c r="J253" s="42"/>
      <c r="K253" s="42">
        <f t="shared" si="46"/>
        <v>4181</v>
      </c>
      <c r="L253" s="42"/>
      <c r="M253" s="42"/>
      <c r="N253" s="42">
        <f t="shared" si="47"/>
        <v>4181</v>
      </c>
    </row>
    <row r="254" spans="1:14" ht="15" customHeight="1">
      <c r="A254" s="6" t="s">
        <v>35</v>
      </c>
      <c r="B254" s="44">
        <f>SUM(B256:B258)</f>
        <v>15615.1</v>
      </c>
      <c r="C254" s="44">
        <f>SUM(C256:C258)</f>
        <v>0</v>
      </c>
      <c r="D254" s="44">
        <f>SUM(D256:D258)</f>
        <v>22.4</v>
      </c>
      <c r="E254" s="44">
        <f>B254+C254+D254</f>
        <v>15637.5</v>
      </c>
      <c r="F254" s="44">
        <f>SUM(F256:F261)</f>
        <v>4200</v>
      </c>
      <c r="G254" s="44">
        <f>SUM(G256:G261)</f>
        <v>43</v>
      </c>
      <c r="H254" s="44">
        <f>E254+F254+G254</f>
        <v>19880.5</v>
      </c>
      <c r="I254" s="44">
        <f>SUM(I256:I261)</f>
        <v>0</v>
      </c>
      <c r="J254" s="44">
        <f>SUM(J256:J261)</f>
        <v>50872</v>
      </c>
      <c r="K254" s="44">
        <f t="shared" si="46"/>
        <v>70752.5</v>
      </c>
      <c r="L254" s="44">
        <f>SUM(L256:L261)</f>
        <v>0</v>
      </c>
      <c r="M254" s="44">
        <f>SUM(M256:M261)</f>
        <v>0</v>
      </c>
      <c r="N254" s="44">
        <f t="shared" si="47"/>
        <v>70752.5</v>
      </c>
    </row>
    <row r="255" spans="1:14" ht="10.5" customHeight="1">
      <c r="A255" s="3" t="s">
        <v>1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</row>
    <row r="256" spans="1:14" ht="12.75" customHeight="1" hidden="1">
      <c r="A256" s="5" t="s">
        <v>41</v>
      </c>
      <c r="B256" s="42"/>
      <c r="C256" s="42"/>
      <c r="D256" s="42"/>
      <c r="E256" s="42">
        <f>B256+C256+D256</f>
        <v>0</v>
      </c>
      <c r="F256" s="42"/>
      <c r="G256" s="42"/>
      <c r="H256" s="42">
        <f>E256+F256+G256</f>
        <v>0</v>
      </c>
      <c r="I256" s="42"/>
      <c r="J256" s="42"/>
      <c r="K256" s="42">
        <f>H256+I256+J256</f>
        <v>0</v>
      </c>
      <c r="L256" s="42"/>
      <c r="M256" s="42"/>
      <c r="N256" s="42">
        <f>K256+L256+M256</f>
        <v>0</v>
      </c>
    </row>
    <row r="257" spans="1:14" ht="12.75" customHeight="1" hidden="1">
      <c r="A257" s="5" t="s">
        <v>146</v>
      </c>
      <c r="B257" s="42"/>
      <c r="C257" s="42"/>
      <c r="D257" s="42"/>
      <c r="E257" s="42">
        <f>SUM(B257:D257)</f>
        <v>0</v>
      </c>
      <c r="F257" s="42"/>
      <c r="G257" s="42"/>
      <c r="H257" s="42">
        <f>SUM(E257:G257)</f>
        <v>0</v>
      </c>
      <c r="I257" s="42"/>
      <c r="J257" s="42"/>
      <c r="K257" s="42">
        <f>SUM(H257:J257)</f>
        <v>0</v>
      </c>
      <c r="L257" s="42"/>
      <c r="M257" s="42"/>
      <c r="N257" s="42">
        <f>SUM(K257:M257)</f>
        <v>0</v>
      </c>
    </row>
    <row r="258" spans="1:14" ht="12.75" customHeight="1">
      <c r="A258" s="4" t="s">
        <v>133</v>
      </c>
      <c r="B258" s="42">
        <v>15615.1</v>
      </c>
      <c r="C258" s="42"/>
      <c r="D258" s="42">
        <v>22.4</v>
      </c>
      <c r="E258" s="42">
        <f>B258+C258+D258</f>
        <v>15637.5</v>
      </c>
      <c r="F258" s="42"/>
      <c r="G258" s="42"/>
      <c r="H258" s="42">
        <f>E258+F258+G258</f>
        <v>15637.5</v>
      </c>
      <c r="I258" s="42"/>
      <c r="J258" s="42"/>
      <c r="K258" s="42">
        <f>H258+I258+J258</f>
        <v>15637.5</v>
      </c>
      <c r="L258" s="42"/>
      <c r="M258" s="42"/>
      <c r="N258" s="42">
        <f>K258+L258+M258</f>
        <v>15637.5</v>
      </c>
    </row>
    <row r="259" spans="1:14" ht="12.75" customHeight="1">
      <c r="A259" s="4" t="s">
        <v>232</v>
      </c>
      <c r="B259" s="71"/>
      <c r="C259" s="71"/>
      <c r="D259" s="71"/>
      <c r="E259" s="71"/>
      <c r="F259" s="71"/>
      <c r="G259" s="71"/>
      <c r="H259" s="42"/>
      <c r="I259" s="71"/>
      <c r="J259" s="71">
        <v>50000</v>
      </c>
      <c r="K259" s="42">
        <f>H259+I259+J259</f>
        <v>50000</v>
      </c>
      <c r="L259" s="71"/>
      <c r="M259" s="71"/>
      <c r="N259" s="42">
        <f>K259+L259+M259</f>
        <v>50000</v>
      </c>
    </row>
    <row r="260" spans="1:14" ht="12.75" customHeight="1">
      <c r="A260" s="4" t="s">
        <v>146</v>
      </c>
      <c r="B260" s="71"/>
      <c r="C260" s="71"/>
      <c r="D260" s="71"/>
      <c r="E260" s="71"/>
      <c r="F260" s="71"/>
      <c r="G260" s="71"/>
      <c r="H260" s="42"/>
      <c r="I260" s="71"/>
      <c r="J260" s="71">
        <v>872</v>
      </c>
      <c r="K260" s="42">
        <f>H260+I260+J260</f>
        <v>872</v>
      </c>
      <c r="L260" s="71"/>
      <c r="M260" s="71"/>
      <c r="N260" s="42">
        <f>K260+L260+M260</f>
        <v>872</v>
      </c>
    </row>
    <row r="261" spans="1:14" ht="12.75" customHeight="1">
      <c r="A261" s="36" t="s">
        <v>41</v>
      </c>
      <c r="B261" s="68"/>
      <c r="C261" s="68"/>
      <c r="D261" s="68"/>
      <c r="E261" s="68"/>
      <c r="F261" s="68">
        <v>4200</v>
      </c>
      <c r="G261" s="68">
        <v>43</v>
      </c>
      <c r="H261" s="46">
        <f>E261+F261+G261</f>
        <v>4243</v>
      </c>
      <c r="I261" s="68"/>
      <c r="J261" s="68"/>
      <c r="K261" s="46">
        <f>H261+I261+J261</f>
        <v>4243</v>
      </c>
      <c r="L261" s="68"/>
      <c r="M261" s="68"/>
      <c r="N261" s="46">
        <f>K261+L261+M261</f>
        <v>4243</v>
      </c>
    </row>
    <row r="262" spans="1:14" ht="19.5" customHeight="1">
      <c r="A262" s="31" t="s">
        <v>20</v>
      </c>
      <c r="B262" s="49">
        <f aca="true" t="shared" si="48" ref="B262:N262">B263+B272</f>
        <v>122329</v>
      </c>
      <c r="C262" s="49">
        <f t="shared" si="48"/>
        <v>16</v>
      </c>
      <c r="D262" s="49">
        <f t="shared" si="48"/>
        <v>0</v>
      </c>
      <c r="E262" s="49">
        <f t="shared" si="48"/>
        <v>122345</v>
      </c>
      <c r="F262" s="49">
        <f t="shared" si="48"/>
        <v>11028</v>
      </c>
      <c r="G262" s="49">
        <f t="shared" si="48"/>
        <v>3360</v>
      </c>
      <c r="H262" s="49">
        <f t="shared" si="48"/>
        <v>136733</v>
      </c>
      <c r="I262" s="49">
        <f t="shared" si="48"/>
        <v>48838</v>
      </c>
      <c r="J262" s="49">
        <f t="shared" si="48"/>
        <v>0</v>
      </c>
      <c r="K262" s="49">
        <f t="shared" si="48"/>
        <v>185571</v>
      </c>
      <c r="L262" s="49">
        <f t="shared" si="48"/>
        <v>16486.4</v>
      </c>
      <c r="M262" s="49">
        <f t="shared" si="48"/>
        <v>0</v>
      </c>
      <c r="N262" s="49">
        <f t="shared" si="48"/>
        <v>202057.4</v>
      </c>
    </row>
    <row r="263" spans="1:14" ht="15" customHeight="1">
      <c r="A263" s="6" t="s">
        <v>34</v>
      </c>
      <c r="B263" s="44">
        <f>SUM(B265:B271)</f>
        <v>122329</v>
      </c>
      <c r="C263" s="44">
        <f>SUM(C265:C271)</f>
        <v>16</v>
      </c>
      <c r="D263" s="44">
        <f>SUM(D265:D271)</f>
        <v>0</v>
      </c>
      <c r="E263" s="44">
        <f>B263+C263+D263</f>
        <v>122345</v>
      </c>
      <c r="F263" s="44">
        <f>SUM(F265:F271)</f>
        <v>11028</v>
      </c>
      <c r="G263" s="44">
        <f>SUM(G265:G271)</f>
        <v>3360</v>
      </c>
      <c r="H263" s="44">
        <f>E263+F263+G263</f>
        <v>136733</v>
      </c>
      <c r="I263" s="44">
        <f>SUM(I265:I271)</f>
        <v>155</v>
      </c>
      <c r="J263" s="44">
        <f>SUM(J265:J271)</f>
        <v>0</v>
      </c>
      <c r="K263" s="44">
        <f>H263+I263+J263</f>
        <v>136888</v>
      </c>
      <c r="L263" s="44">
        <f>SUM(L265:L271)</f>
        <v>580</v>
      </c>
      <c r="M263" s="44">
        <f>SUM(M265:M271)</f>
        <v>0</v>
      </c>
      <c r="N263" s="44">
        <f>K263+L263+M263</f>
        <v>137468</v>
      </c>
    </row>
    <row r="264" spans="1:14" ht="10.5" customHeight="1">
      <c r="A264" s="3" t="s">
        <v>1</v>
      </c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</row>
    <row r="265" spans="1:14" ht="12.75" customHeight="1">
      <c r="A265" s="5" t="s">
        <v>18</v>
      </c>
      <c r="B265" s="42">
        <v>101506</v>
      </c>
      <c r="C265" s="42"/>
      <c r="D265" s="42"/>
      <c r="E265" s="42">
        <f>B265+C265+D265</f>
        <v>101506</v>
      </c>
      <c r="F265" s="42">
        <v>215</v>
      </c>
      <c r="G265" s="42">
        <v>1615</v>
      </c>
      <c r="H265" s="42">
        <f>E265+F265+G265</f>
        <v>103336</v>
      </c>
      <c r="I265" s="42"/>
      <c r="J265" s="42"/>
      <c r="K265" s="42">
        <f>H265+I265+J265</f>
        <v>103336</v>
      </c>
      <c r="L265" s="42">
        <v>40</v>
      </c>
      <c r="M265" s="42"/>
      <c r="N265" s="42">
        <f>K265+L265+M265</f>
        <v>103376</v>
      </c>
    </row>
    <row r="266" spans="1:14" ht="12.75" customHeight="1">
      <c r="A266" s="5" t="s">
        <v>9</v>
      </c>
      <c r="B266" s="42">
        <v>20823</v>
      </c>
      <c r="C266" s="42">
        <v>-5389</v>
      </c>
      <c r="D266" s="42"/>
      <c r="E266" s="42">
        <f>B266+C266+D266</f>
        <v>15434</v>
      </c>
      <c r="F266" s="42">
        <v>-865</v>
      </c>
      <c r="G266" s="42">
        <f>-510+1385</f>
        <v>875</v>
      </c>
      <c r="H266" s="42">
        <f>E266+F266+G266</f>
        <v>15444</v>
      </c>
      <c r="I266" s="42"/>
      <c r="J266" s="42"/>
      <c r="K266" s="42">
        <f>H266+I266+J266</f>
        <v>15444</v>
      </c>
      <c r="L266" s="42">
        <v>500</v>
      </c>
      <c r="M266" s="42"/>
      <c r="N266" s="42">
        <f>K266+L266+M266</f>
        <v>15944</v>
      </c>
    </row>
    <row r="267" spans="1:14" ht="12.75" customHeight="1">
      <c r="A267" s="5" t="s">
        <v>142</v>
      </c>
      <c r="B267" s="42"/>
      <c r="C267" s="42">
        <v>5389</v>
      </c>
      <c r="D267" s="42"/>
      <c r="E267" s="42">
        <f>B267+C267+D267</f>
        <v>5389</v>
      </c>
      <c r="F267" s="42">
        <v>650</v>
      </c>
      <c r="G267" s="42">
        <v>870</v>
      </c>
      <c r="H267" s="42">
        <f>E267+F267+G267</f>
        <v>6909</v>
      </c>
      <c r="I267" s="42"/>
      <c r="J267" s="42"/>
      <c r="K267" s="42">
        <f>H267+I267+J267</f>
        <v>6909</v>
      </c>
      <c r="L267" s="42"/>
      <c r="M267" s="42"/>
      <c r="N267" s="42">
        <f>K267+L267+M267</f>
        <v>6909</v>
      </c>
    </row>
    <row r="268" spans="1:14" ht="12.75" customHeight="1">
      <c r="A268" s="5" t="s">
        <v>45</v>
      </c>
      <c r="B268" s="42"/>
      <c r="C268" s="42">
        <v>16</v>
      </c>
      <c r="D268" s="42"/>
      <c r="E268" s="42">
        <f>B268+C268</f>
        <v>16</v>
      </c>
      <c r="F268" s="42">
        <v>16</v>
      </c>
      <c r="G268" s="42"/>
      <c r="H268" s="42">
        <f>E268+F268</f>
        <v>32</v>
      </c>
      <c r="I268" s="42"/>
      <c r="J268" s="42"/>
      <c r="K268" s="42">
        <f>H268+I268</f>
        <v>32</v>
      </c>
      <c r="L268" s="42"/>
      <c r="M268" s="42"/>
      <c r="N268" s="42">
        <f>K268+L268</f>
        <v>32</v>
      </c>
    </row>
    <row r="269" spans="1:14" ht="12.75" customHeight="1">
      <c r="A269" s="5" t="s">
        <v>207</v>
      </c>
      <c r="B269" s="42"/>
      <c r="C269" s="42"/>
      <c r="D269" s="42"/>
      <c r="E269" s="42"/>
      <c r="F269" s="42">
        <v>120</v>
      </c>
      <c r="G269" s="42"/>
      <c r="H269" s="42">
        <f>E269+F269</f>
        <v>120</v>
      </c>
      <c r="I269" s="42">
        <f>40+20</f>
        <v>60</v>
      </c>
      <c r="J269" s="42"/>
      <c r="K269" s="42">
        <f>H269+I269</f>
        <v>180</v>
      </c>
      <c r="L269" s="42">
        <v>80</v>
      </c>
      <c r="M269" s="42"/>
      <c r="N269" s="42">
        <f>K269+L269</f>
        <v>260</v>
      </c>
    </row>
    <row r="270" spans="1:14" ht="12.75" customHeight="1">
      <c r="A270" s="5" t="s">
        <v>208</v>
      </c>
      <c r="B270" s="42"/>
      <c r="C270" s="42"/>
      <c r="D270" s="42"/>
      <c r="E270" s="42"/>
      <c r="F270" s="42">
        <v>612</v>
      </c>
      <c r="G270" s="42"/>
      <c r="H270" s="42">
        <f>E270+F270</f>
        <v>612</v>
      </c>
      <c r="I270" s="42">
        <v>95</v>
      </c>
      <c r="J270" s="42"/>
      <c r="K270" s="42">
        <f>H270+I270</f>
        <v>707</v>
      </c>
      <c r="L270" s="42"/>
      <c r="M270" s="42"/>
      <c r="N270" s="42">
        <f>K270+L270</f>
        <v>707</v>
      </c>
    </row>
    <row r="271" spans="1:14" ht="12.75" customHeight="1">
      <c r="A271" s="5" t="s">
        <v>44</v>
      </c>
      <c r="B271" s="42"/>
      <c r="C271" s="42"/>
      <c r="D271" s="42"/>
      <c r="E271" s="42"/>
      <c r="F271" s="42">
        <v>10280</v>
      </c>
      <c r="G271" s="42"/>
      <c r="H271" s="42">
        <f>E271+F271</f>
        <v>10280</v>
      </c>
      <c r="I271" s="42"/>
      <c r="J271" s="42"/>
      <c r="K271" s="42">
        <f>H271+I271</f>
        <v>10280</v>
      </c>
      <c r="L271" s="42">
        <v>-40</v>
      </c>
      <c r="M271" s="42"/>
      <c r="N271" s="42">
        <f>K271+L271</f>
        <v>10240</v>
      </c>
    </row>
    <row r="272" spans="1:14" ht="15" customHeight="1">
      <c r="A272" s="6" t="s">
        <v>35</v>
      </c>
      <c r="B272" s="44">
        <f>SUM(B274:B274)</f>
        <v>0</v>
      </c>
      <c r="C272" s="44">
        <f>SUM(C274:C274)</f>
        <v>0</v>
      </c>
      <c r="D272" s="44">
        <f>SUM(D274:D274)</f>
        <v>0</v>
      </c>
      <c r="E272" s="44">
        <f>B272+C272+D272</f>
        <v>0</v>
      </c>
      <c r="F272" s="44">
        <f>SUM(F274:F274)</f>
        <v>0</v>
      </c>
      <c r="G272" s="44">
        <f>SUM(G274:G274)</f>
        <v>0</v>
      </c>
      <c r="H272" s="44">
        <f>E272+F272+G272</f>
        <v>0</v>
      </c>
      <c r="I272" s="44">
        <f>SUM(I274:I274)</f>
        <v>48683</v>
      </c>
      <c r="J272" s="44">
        <f>SUM(J274:J274)</f>
        <v>0</v>
      </c>
      <c r="K272" s="44">
        <f>H272+I272+J272</f>
        <v>48683</v>
      </c>
      <c r="L272" s="44">
        <f>SUM(L274:L274)</f>
        <v>15906.4</v>
      </c>
      <c r="M272" s="44">
        <f>SUM(M274:M274)</f>
        <v>0</v>
      </c>
      <c r="N272" s="44">
        <f>K272+L272+M272</f>
        <v>64589.4</v>
      </c>
    </row>
    <row r="273" spans="1:14" ht="10.5" customHeight="1">
      <c r="A273" s="3" t="s">
        <v>1</v>
      </c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</row>
    <row r="274" spans="1:14" ht="12.75" customHeight="1">
      <c r="A274" s="32" t="s">
        <v>196</v>
      </c>
      <c r="B274" s="46"/>
      <c r="C274" s="46"/>
      <c r="D274" s="46"/>
      <c r="E274" s="46">
        <f>B274+C274+D274</f>
        <v>0</v>
      </c>
      <c r="F274" s="46"/>
      <c r="G274" s="46"/>
      <c r="H274" s="46">
        <f>E274+F274+G274</f>
        <v>0</v>
      </c>
      <c r="I274" s="46">
        <f>48625.9+57.1</f>
        <v>48683</v>
      </c>
      <c r="J274" s="46"/>
      <c r="K274" s="46">
        <f>H274+I274+J274</f>
        <v>48683</v>
      </c>
      <c r="L274" s="46">
        <v>15906.4</v>
      </c>
      <c r="M274" s="46"/>
      <c r="N274" s="46">
        <f>K274+L274+M274</f>
        <v>64589.4</v>
      </c>
    </row>
    <row r="275" spans="1:14" ht="19.5" customHeight="1">
      <c r="A275" s="2" t="s">
        <v>36</v>
      </c>
      <c r="B275" s="39">
        <f aca="true" t="shared" si="49" ref="B275:N275">B277+B278</f>
        <v>4845</v>
      </c>
      <c r="C275" s="39">
        <f t="shared" si="49"/>
        <v>0</v>
      </c>
      <c r="D275" s="39">
        <f t="shared" si="49"/>
        <v>0</v>
      </c>
      <c r="E275" s="39">
        <f t="shared" si="49"/>
        <v>4845</v>
      </c>
      <c r="F275" s="39">
        <f t="shared" si="49"/>
        <v>0</v>
      </c>
      <c r="G275" s="39">
        <f t="shared" si="49"/>
        <v>0</v>
      </c>
      <c r="H275" s="39">
        <f t="shared" si="49"/>
        <v>4845</v>
      </c>
      <c r="I275" s="39">
        <f t="shared" si="49"/>
        <v>0</v>
      </c>
      <c r="J275" s="39">
        <f t="shared" si="49"/>
        <v>0</v>
      </c>
      <c r="K275" s="39">
        <f t="shared" si="49"/>
        <v>4845</v>
      </c>
      <c r="L275" s="39">
        <f t="shared" si="49"/>
        <v>0</v>
      </c>
      <c r="M275" s="39">
        <f t="shared" si="49"/>
        <v>0</v>
      </c>
      <c r="N275" s="39">
        <f t="shared" si="49"/>
        <v>4845</v>
      </c>
    </row>
    <row r="276" spans="1:14" ht="10.5" customHeight="1">
      <c r="A276" s="3" t="s">
        <v>1</v>
      </c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</row>
    <row r="277" spans="1:14" ht="12.75" customHeight="1">
      <c r="A277" s="5" t="s">
        <v>135</v>
      </c>
      <c r="B277" s="42">
        <v>4845</v>
      </c>
      <c r="C277" s="42">
        <v>-3130.1</v>
      </c>
      <c r="D277" s="42"/>
      <c r="E277" s="42">
        <f>B277+C277+D277</f>
        <v>1714.9</v>
      </c>
      <c r="F277" s="42"/>
      <c r="G277" s="42"/>
      <c r="H277" s="42">
        <f>E277+F277+G277</f>
        <v>1714.9</v>
      </c>
      <c r="I277" s="42">
        <v>-1714.9</v>
      </c>
      <c r="J277" s="42"/>
      <c r="K277" s="42">
        <f>H277+I277+J277</f>
        <v>0</v>
      </c>
      <c r="L277" s="42"/>
      <c r="M277" s="42"/>
      <c r="N277" s="42">
        <f>K277+L277+M277</f>
        <v>0</v>
      </c>
    </row>
    <row r="278" spans="1:14" ht="12.75" customHeight="1">
      <c r="A278" s="32" t="s">
        <v>142</v>
      </c>
      <c r="B278" s="46"/>
      <c r="C278" s="46">
        <v>3130.1</v>
      </c>
      <c r="D278" s="46"/>
      <c r="E278" s="46">
        <f>B278+C278+D278</f>
        <v>3130.1</v>
      </c>
      <c r="F278" s="46"/>
      <c r="G278" s="46"/>
      <c r="H278" s="46">
        <f>E278+F278+G278</f>
        <v>3130.1</v>
      </c>
      <c r="I278" s="46">
        <v>1714.9</v>
      </c>
      <c r="J278" s="46"/>
      <c r="K278" s="46">
        <f>H278+I278+J278</f>
        <v>4845</v>
      </c>
      <c r="L278" s="46"/>
      <c r="M278" s="46"/>
      <c r="N278" s="46">
        <f>K278+L278+M278</f>
        <v>4845</v>
      </c>
    </row>
    <row r="279" spans="1:14" ht="16.5" customHeight="1">
      <c r="A279" s="2" t="s">
        <v>21</v>
      </c>
      <c r="B279" s="39">
        <f>B280+B290</f>
        <v>13853</v>
      </c>
      <c r="C279" s="39">
        <f>C280+C290</f>
        <v>2431.3</v>
      </c>
      <c r="D279" s="39">
        <f>D280+D290</f>
        <v>3000</v>
      </c>
      <c r="E279" s="41">
        <f>B279+C279+D279</f>
        <v>19284.3</v>
      </c>
      <c r="F279" s="39">
        <f>F280+F290</f>
        <v>39143.8</v>
      </c>
      <c r="G279" s="39">
        <f>G280+G290</f>
        <v>29140</v>
      </c>
      <c r="H279" s="41">
        <f>E279+F279+G279</f>
        <v>87568.1</v>
      </c>
      <c r="I279" s="39">
        <f>I280+I290</f>
        <v>31851.7</v>
      </c>
      <c r="J279" s="39">
        <f>J280+J290</f>
        <v>0</v>
      </c>
      <c r="K279" s="41">
        <f>H279+I279+J279</f>
        <v>119419.8</v>
      </c>
      <c r="L279" s="39">
        <f>L280+L290</f>
        <v>1162</v>
      </c>
      <c r="M279" s="39">
        <f>M280+M290</f>
        <v>0</v>
      </c>
      <c r="N279" s="41">
        <f>K279+L279+M279</f>
        <v>120581.8</v>
      </c>
    </row>
    <row r="280" spans="1:14" ht="12.75" customHeight="1">
      <c r="A280" s="6" t="s">
        <v>34</v>
      </c>
      <c r="B280" s="44">
        <f>SUM(B282:B289)</f>
        <v>13853</v>
      </c>
      <c r="C280" s="44">
        <f>SUM(C282:C288)</f>
        <v>2431.3</v>
      </c>
      <c r="D280" s="44">
        <f>SUM(D282:D288)</f>
        <v>0</v>
      </c>
      <c r="E280" s="45">
        <f>B280+C280+D280</f>
        <v>16284.3</v>
      </c>
      <c r="F280" s="44">
        <f>SUM(F282:F289)</f>
        <v>34281.9</v>
      </c>
      <c r="G280" s="44">
        <f>SUM(G282:G289)</f>
        <v>29140</v>
      </c>
      <c r="H280" s="45">
        <f>E280+F280+G280</f>
        <v>79706.2</v>
      </c>
      <c r="I280" s="44">
        <f>SUM(I282:I289)</f>
        <v>669</v>
      </c>
      <c r="J280" s="44">
        <f>SUM(J282:J289)</f>
        <v>0</v>
      </c>
      <c r="K280" s="45">
        <f>H280+I280+J280</f>
        <v>80375.2</v>
      </c>
      <c r="L280" s="44">
        <f>SUM(L282:L289)</f>
        <v>-4333.6</v>
      </c>
      <c r="M280" s="44">
        <f>SUM(M282:M289)</f>
        <v>0</v>
      </c>
      <c r="N280" s="45">
        <f>K280+L280+M280</f>
        <v>76041.59999999999</v>
      </c>
    </row>
    <row r="281" spans="1:14" ht="10.5" customHeight="1">
      <c r="A281" s="3" t="s">
        <v>1</v>
      </c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</row>
    <row r="282" spans="1:14" ht="12.75" customHeight="1">
      <c r="A282" s="4" t="s">
        <v>18</v>
      </c>
      <c r="B282" s="42">
        <v>8067</v>
      </c>
      <c r="C282" s="42"/>
      <c r="D282" s="42"/>
      <c r="E282" s="42">
        <f>B282+C282+D282</f>
        <v>8067</v>
      </c>
      <c r="F282" s="42">
        <v>23713.6</v>
      </c>
      <c r="G282" s="42"/>
      <c r="H282" s="42">
        <f>E282+F282+G282</f>
        <v>31780.6</v>
      </c>
      <c r="I282" s="42"/>
      <c r="J282" s="42"/>
      <c r="K282" s="42">
        <f>H282+I282+J282</f>
        <v>31780.6</v>
      </c>
      <c r="L282" s="42">
        <f>-6615.2</f>
        <v>-6615.2</v>
      </c>
      <c r="M282" s="42"/>
      <c r="N282" s="42">
        <f>K282+L282+M282</f>
        <v>25165.399999999998</v>
      </c>
    </row>
    <row r="283" spans="1:14" ht="12.75" customHeight="1">
      <c r="A283" s="4" t="s">
        <v>172</v>
      </c>
      <c r="B283" s="42"/>
      <c r="C283" s="42"/>
      <c r="D283" s="42"/>
      <c r="E283" s="42">
        <f>B283+C283</f>
        <v>0</v>
      </c>
      <c r="F283" s="42">
        <v>1050</v>
      </c>
      <c r="G283" s="42"/>
      <c r="H283" s="42">
        <f>E283+F283</f>
        <v>1050</v>
      </c>
      <c r="I283" s="42"/>
      <c r="J283" s="42"/>
      <c r="K283" s="42">
        <f>H283+I283</f>
        <v>1050</v>
      </c>
      <c r="L283" s="42">
        <v>-50</v>
      </c>
      <c r="M283" s="42"/>
      <c r="N283" s="42">
        <f>K283+L283</f>
        <v>1000</v>
      </c>
    </row>
    <row r="284" spans="1:14" ht="12.75" customHeight="1">
      <c r="A284" s="4" t="s">
        <v>9</v>
      </c>
      <c r="B284" s="42">
        <v>5786</v>
      </c>
      <c r="C284" s="42"/>
      <c r="D284" s="42"/>
      <c r="E284" s="42">
        <f>B284+C284+D284</f>
        <v>5786</v>
      </c>
      <c r="F284" s="42">
        <f>-47.3-50</f>
        <v>-97.3</v>
      </c>
      <c r="G284" s="42">
        <v>800</v>
      </c>
      <c r="H284" s="42">
        <f>E284+F284+G284</f>
        <v>6488.7</v>
      </c>
      <c r="I284" s="42">
        <v>7</v>
      </c>
      <c r="J284" s="42"/>
      <c r="K284" s="42">
        <f>H284+I284+J284</f>
        <v>6495.7</v>
      </c>
      <c r="L284" s="42">
        <f>50+574.3+8.7</f>
        <v>633</v>
      </c>
      <c r="M284" s="42"/>
      <c r="N284" s="42">
        <f>K284+L284+M284</f>
        <v>7128.7</v>
      </c>
    </row>
    <row r="285" spans="1:14" ht="12.75" customHeight="1">
      <c r="A285" s="4" t="s">
        <v>142</v>
      </c>
      <c r="B285" s="42"/>
      <c r="C285" s="42"/>
      <c r="D285" s="42"/>
      <c r="E285" s="42">
        <f>B285+C285</f>
        <v>0</v>
      </c>
      <c r="F285" s="42">
        <v>7047.3</v>
      </c>
      <c r="G285" s="42"/>
      <c r="H285" s="42">
        <f>E285+F285</f>
        <v>7047.3</v>
      </c>
      <c r="I285" s="42"/>
      <c r="J285" s="42"/>
      <c r="K285" s="42">
        <f>H285+I285</f>
        <v>7047.3</v>
      </c>
      <c r="L285" s="42"/>
      <c r="M285" s="42"/>
      <c r="N285" s="42">
        <f>K285+L285</f>
        <v>7047.3</v>
      </c>
    </row>
    <row r="286" spans="1:14" ht="12.75" customHeight="1">
      <c r="A286" s="4" t="s">
        <v>170</v>
      </c>
      <c r="B286" s="42"/>
      <c r="C286" s="42">
        <v>1225.5</v>
      </c>
      <c r="D286" s="42"/>
      <c r="E286" s="42">
        <f>B286+C286+D286</f>
        <v>1225.5</v>
      </c>
      <c r="F286" s="42">
        <v>2568.3</v>
      </c>
      <c r="G286" s="42"/>
      <c r="H286" s="42">
        <f>E286+F286+G286</f>
        <v>3793.8</v>
      </c>
      <c r="I286" s="42">
        <v>662</v>
      </c>
      <c r="J286" s="42"/>
      <c r="K286" s="42">
        <f>H286+I286+J286</f>
        <v>4455.8</v>
      </c>
      <c r="L286" s="42">
        <f>471.8+1226.8</f>
        <v>1698.6</v>
      </c>
      <c r="M286" s="42"/>
      <c r="N286" s="42">
        <f>K286+L286+M286</f>
        <v>6154.4</v>
      </c>
    </row>
    <row r="287" spans="1:14" ht="12.75" customHeight="1">
      <c r="A287" s="8" t="s">
        <v>171</v>
      </c>
      <c r="B287" s="42"/>
      <c r="C287" s="42">
        <v>1130.9</v>
      </c>
      <c r="D287" s="42"/>
      <c r="E287" s="42">
        <f>B287+C287+D287</f>
        <v>1130.9</v>
      </c>
      <c r="F287" s="42"/>
      <c r="G287" s="42"/>
      <c r="H287" s="42">
        <f>E287+F287+G287</f>
        <v>1130.9</v>
      </c>
      <c r="I287" s="42"/>
      <c r="J287" s="42"/>
      <c r="K287" s="42">
        <f>H287+I287+J287</f>
        <v>1130.9</v>
      </c>
      <c r="L287" s="42"/>
      <c r="M287" s="42"/>
      <c r="N287" s="42">
        <f>K287+L287+M287</f>
        <v>1130.9</v>
      </c>
    </row>
    <row r="288" spans="1:14" ht="12.75" customHeight="1">
      <c r="A288" s="8" t="s">
        <v>115</v>
      </c>
      <c r="B288" s="42"/>
      <c r="C288" s="42">
        <v>74.9</v>
      </c>
      <c r="D288" s="42"/>
      <c r="E288" s="42">
        <f>B288+C288</f>
        <v>74.9</v>
      </c>
      <c r="F288" s="42"/>
      <c r="G288" s="42"/>
      <c r="H288" s="42">
        <f>E288+F288+G288</f>
        <v>74.9</v>
      </c>
      <c r="I288" s="42"/>
      <c r="J288" s="42"/>
      <c r="K288" s="42">
        <f>H288+I288+J288</f>
        <v>74.9</v>
      </c>
      <c r="L288" s="42"/>
      <c r="M288" s="42"/>
      <c r="N288" s="42">
        <f>K288+L288+M288</f>
        <v>74.9</v>
      </c>
    </row>
    <row r="289" spans="1:14" ht="12.75" customHeight="1">
      <c r="A289" s="8" t="s">
        <v>44</v>
      </c>
      <c r="B289" s="42"/>
      <c r="C289" s="42"/>
      <c r="D289" s="42"/>
      <c r="E289" s="42"/>
      <c r="F289" s="42"/>
      <c r="G289" s="42">
        <v>28340</v>
      </c>
      <c r="H289" s="42">
        <f>E289+F289+G289</f>
        <v>28340</v>
      </c>
      <c r="I289" s="42"/>
      <c r="J289" s="42"/>
      <c r="K289" s="42">
        <f>H289+I289+J289</f>
        <v>28340</v>
      </c>
      <c r="L289" s="42"/>
      <c r="M289" s="42"/>
      <c r="N289" s="42">
        <f>K289+L289+M289</f>
        <v>28340</v>
      </c>
    </row>
    <row r="290" spans="1:14" ht="12.75" customHeight="1">
      <c r="A290" s="6" t="s">
        <v>35</v>
      </c>
      <c r="B290" s="44">
        <f>SUM(B292:B294)</f>
        <v>0</v>
      </c>
      <c r="C290" s="44">
        <f>SUM(C292:C294)</f>
        <v>0</v>
      </c>
      <c r="D290" s="44">
        <f>SUM(D292:D294)</f>
        <v>3000</v>
      </c>
      <c r="E290" s="44">
        <f>B290+C290+D290</f>
        <v>3000</v>
      </c>
      <c r="F290" s="44">
        <f>SUM(F292:F294)</f>
        <v>4861.9</v>
      </c>
      <c r="G290" s="44">
        <f>SUM(G292:G294)</f>
        <v>0</v>
      </c>
      <c r="H290" s="44">
        <f>E290+F290+G290</f>
        <v>7861.9</v>
      </c>
      <c r="I290" s="44">
        <f>SUM(I292:I294)</f>
        <v>31182.7</v>
      </c>
      <c r="J290" s="44">
        <f>SUM(J292:J294)</f>
        <v>0</v>
      </c>
      <c r="K290" s="44">
        <f>H290+I290+J290</f>
        <v>39044.6</v>
      </c>
      <c r="L290" s="44">
        <f>SUM(L292:L294)</f>
        <v>5495.6</v>
      </c>
      <c r="M290" s="44">
        <f>SUM(M292:M294)</f>
        <v>0</v>
      </c>
      <c r="N290" s="44">
        <f>K290+L290+M290</f>
        <v>44540.2</v>
      </c>
    </row>
    <row r="291" spans="1:14" ht="10.5" customHeight="1">
      <c r="A291" s="3" t="s">
        <v>1</v>
      </c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</row>
    <row r="292" spans="1:14" ht="12.75" customHeight="1" hidden="1">
      <c r="A292" s="4" t="s">
        <v>146</v>
      </c>
      <c r="B292" s="42"/>
      <c r="C292" s="42"/>
      <c r="D292" s="42"/>
      <c r="E292" s="42">
        <f>B292+C292</f>
        <v>0</v>
      </c>
      <c r="F292" s="42"/>
      <c r="G292" s="42"/>
      <c r="H292" s="42">
        <f>E292+F292</f>
        <v>0</v>
      </c>
      <c r="I292" s="42"/>
      <c r="J292" s="42"/>
      <c r="K292" s="42">
        <f>H292+I292</f>
        <v>0</v>
      </c>
      <c r="L292" s="42"/>
      <c r="M292" s="42"/>
      <c r="N292" s="42">
        <f>K292+L292</f>
        <v>0</v>
      </c>
    </row>
    <row r="293" spans="1:14" ht="12.75" customHeight="1">
      <c r="A293" s="4" t="s">
        <v>41</v>
      </c>
      <c r="B293" s="42"/>
      <c r="C293" s="42"/>
      <c r="D293" s="42">
        <v>3000</v>
      </c>
      <c r="E293" s="42">
        <f>B293+C293+D293</f>
        <v>3000</v>
      </c>
      <c r="F293" s="42"/>
      <c r="G293" s="42"/>
      <c r="H293" s="42">
        <f>E293+F293+G293</f>
        <v>3000</v>
      </c>
      <c r="I293" s="42"/>
      <c r="J293" s="42"/>
      <c r="K293" s="42">
        <f>H293+I293+J293</f>
        <v>3000</v>
      </c>
      <c r="L293" s="42"/>
      <c r="M293" s="42"/>
      <c r="N293" s="42">
        <f>K293+L293+M293</f>
        <v>3000</v>
      </c>
    </row>
    <row r="294" spans="1:14" ht="12.75" customHeight="1">
      <c r="A294" s="32" t="s">
        <v>196</v>
      </c>
      <c r="B294" s="69"/>
      <c r="C294" s="69"/>
      <c r="D294" s="69"/>
      <c r="E294" s="46">
        <f>B294+C294</f>
        <v>0</v>
      </c>
      <c r="F294" s="69">
        <v>4861.9</v>
      </c>
      <c r="G294" s="69"/>
      <c r="H294" s="46">
        <f>E294+F294</f>
        <v>4861.9</v>
      </c>
      <c r="I294" s="69">
        <f>16889+14293.7</f>
        <v>31182.7</v>
      </c>
      <c r="J294" s="69"/>
      <c r="K294" s="46">
        <f>H294+I294</f>
        <v>36044.6</v>
      </c>
      <c r="L294" s="69">
        <v>5495.6</v>
      </c>
      <c r="M294" s="69"/>
      <c r="N294" s="46">
        <f>K294+L294</f>
        <v>41540.2</v>
      </c>
    </row>
    <row r="295" spans="1:14" ht="16.5" customHeight="1">
      <c r="A295" s="12" t="s">
        <v>84</v>
      </c>
      <c r="B295" s="39">
        <f aca="true" t="shared" si="50" ref="B295:N295">B296+B303</f>
        <v>84875.5</v>
      </c>
      <c r="C295" s="39">
        <f t="shared" si="50"/>
        <v>350</v>
      </c>
      <c r="D295" s="39">
        <f t="shared" si="50"/>
        <v>38410.7</v>
      </c>
      <c r="E295" s="39">
        <f t="shared" si="50"/>
        <v>123636.2</v>
      </c>
      <c r="F295" s="39">
        <f t="shared" si="50"/>
        <v>12845.8</v>
      </c>
      <c r="G295" s="39">
        <f t="shared" si="50"/>
        <v>-19135</v>
      </c>
      <c r="H295" s="39">
        <f t="shared" si="50"/>
        <v>117347</v>
      </c>
      <c r="I295" s="39">
        <f t="shared" si="50"/>
        <v>0</v>
      </c>
      <c r="J295" s="39">
        <f t="shared" si="50"/>
        <v>11600</v>
      </c>
      <c r="K295" s="39">
        <f t="shared" si="50"/>
        <v>128947</v>
      </c>
      <c r="L295" s="39">
        <f t="shared" si="50"/>
        <v>-11825.1</v>
      </c>
      <c r="M295" s="39">
        <f t="shared" si="50"/>
        <v>0</v>
      </c>
      <c r="N295" s="39">
        <f t="shared" si="50"/>
        <v>117121.90000000001</v>
      </c>
    </row>
    <row r="296" spans="1:14" ht="12.75" customHeight="1">
      <c r="A296" s="6" t="s">
        <v>34</v>
      </c>
      <c r="B296" s="44">
        <f>SUM(B298:B302)</f>
        <v>2685</v>
      </c>
      <c r="C296" s="44">
        <f>SUM(C298:C302)</f>
        <v>0</v>
      </c>
      <c r="D296" s="44">
        <f>SUM(D298:D302)</f>
        <v>27040.7</v>
      </c>
      <c r="E296" s="44">
        <f>B296+C296+D296</f>
        <v>29725.7</v>
      </c>
      <c r="F296" s="44">
        <f>SUM(F298:F302)</f>
        <v>3145.8</v>
      </c>
      <c r="G296" s="44">
        <f>SUM(G298:G302)</f>
        <v>0</v>
      </c>
      <c r="H296" s="44">
        <f>E296+F296+G296</f>
        <v>32871.5</v>
      </c>
      <c r="I296" s="44">
        <f>SUM(I298:I302)</f>
        <v>0</v>
      </c>
      <c r="J296" s="44">
        <f>SUM(J298:J302)</f>
        <v>5622.9</v>
      </c>
      <c r="K296" s="44">
        <f>H296+I296+J296</f>
        <v>38494.4</v>
      </c>
      <c r="L296" s="44">
        <f>SUM(L298:L302)</f>
        <v>-1241.6</v>
      </c>
      <c r="M296" s="44">
        <f>SUM(M298:M302)</f>
        <v>0</v>
      </c>
      <c r="N296" s="44">
        <f>K296+L296+M296</f>
        <v>37252.8</v>
      </c>
    </row>
    <row r="297" spans="1:14" ht="10.5" customHeight="1">
      <c r="A297" s="3" t="s">
        <v>1</v>
      </c>
      <c r="B297" s="42"/>
      <c r="C297" s="42"/>
      <c r="D297" s="42"/>
      <c r="E297" s="39"/>
      <c r="F297" s="42"/>
      <c r="G297" s="42"/>
      <c r="H297" s="39"/>
      <c r="I297" s="42"/>
      <c r="J297" s="42"/>
      <c r="K297" s="39"/>
      <c r="L297" s="42"/>
      <c r="M297" s="42"/>
      <c r="N297" s="39"/>
    </row>
    <row r="298" spans="1:14" ht="12.75" customHeight="1">
      <c r="A298" s="4" t="s">
        <v>9</v>
      </c>
      <c r="B298" s="42">
        <v>2685</v>
      </c>
      <c r="C298" s="42"/>
      <c r="D298" s="42"/>
      <c r="E298" s="42">
        <f>SUM(B298:D298)</f>
        <v>2685</v>
      </c>
      <c r="F298" s="42">
        <v>-256.6</v>
      </c>
      <c r="G298" s="42"/>
      <c r="H298" s="42">
        <f>SUM(E298:G298)</f>
        <v>2428.4</v>
      </c>
      <c r="I298" s="42">
        <v>1000</v>
      </c>
      <c r="J298" s="42">
        <v>1900</v>
      </c>
      <c r="K298" s="42">
        <f>SUM(H298:J298)</f>
        <v>5328.4</v>
      </c>
      <c r="L298" s="42">
        <v>850</v>
      </c>
      <c r="M298" s="42"/>
      <c r="N298" s="42">
        <f>SUM(K298:M298)</f>
        <v>6178.4</v>
      </c>
    </row>
    <row r="299" spans="1:14" ht="12.75" customHeight="1">
      <c r="A299" s="4" t="s">
        <v>198</v>
      </c>
      <c r="B299" s="42"/>
      <c r="C299" s="42"/>
      <c r="D299" s="42"/>
      <c r="E299" s="42"/>
      <c r="F299" s="42">
        <v>3.1</v>
      </c>
      <c r="G299" s="42"/>
      <c r="H299" s="42">
        <f>SUM(E299:G299)</f>
        <v>3.1</v>
      </c>
      <c r="I299" s="42"/>
      <c r="J299" s="42"/>
      <c r="K299" s="42">
        <f>SUM(H299:J299)</f>
        <v>3.1</v>
      </c>
      <c r="L299" s="42">
        <v>0.4</v>
      </c>
      <c r="M299" s="42"/>
      <c r="N299" s="42">
        <f>SUM(K299:M299)</f>
        <v>3.5</v>
      </c>
    </row>
    <row r="300" spans="1:14" ht="12.75" customHeight="1">
      <c r="A300" s="4" t="s">
        <v>72</v>
      </c>
      <c r="B300" s="42"/>
      <c r="C300" s="42"/>
      <c r="D300" s="42">
        <v>25000</v>
      </c>
      <c r="E300" s="42">
        <f>SUM(B300:D300)</f>
        <v>25000</v>
      </c>
      <c r="F300" s="42"/>
      <c r="G300" s="42"/>
      <c r="H300" s="42">
        <f>SUM(E300:G300)</f>
        <v>25000</v>
      </c>
      <c r="I300" s="42"/>
      <c r="J300" s="42">
        <v>-2117.5</v>
      </c>
      <c r="K300" s="42">
        <f>SUM(H300:J300)</f>
        <v>22882.5</v>
      </c>
      <c r="L300" s="42">
        <v>300</v>
      </c>
      <c r="M300" s="42"/>
      <c r="N300" s="42">
        <f>SUM(K300:M300)</f>
        <v>23182.5</v>
      </c>
    </row>
    <row r="301" spans="1:14" ht="12.75" customHeight="1">
      <c r="A301" s="4" t="s">
        <v>142</v>
      </c>
      <c r="B301" s="42"/>
      <c r="C301" s="42"/>
      <c r="D301" s="42"/>
      <c r="E301" s="42"/>
      <c r="F301" s="42"/>
      <c r="G301" s="42"/>
      <c r="H301" s="42"/>
      <c r="I301" s="42"/>
      <c r="J301" s="42">
        <v>4500</v>
      </c>
      <c r="K301" s="42">
        <f>SUM(H301:J301)</f>
        <v>4500</v>
      </c>
      <c r="L301" s="42">
        <f>-2850+200</f>
        <v>-2650</v>
      </c>
      <c r="M301" s="42"/>
      <c r="N301" s="42">
        <f>SUM(K301:M301)</f>
        <v>1850</v>
      </c>
    </row>
    <row r="302" spans="1:14" ht="12.75" customHeight="1">
      <c r="A302" s="4" t="s">
        <v>44</v>
      </c>
      <c r="B302" s="42"/>
      <c r="C302" s="42"/>
      <c r="D302" s="42">
        <v>2040.7</v>
      </c>
      <c r="E302" s="42">
        <f>SUM(B302:D302)</f>
        <v>2040.7</v>
      </c>
      <c r="F302" s="42">
        <v>3399.3</v>
      </c>
      <c r="G302" s="42"/>
      <c r="H302" s="42">
        <f>SUM(E302:G302)</f>
        <v>5440</v>
      </c>
      <c r="I302" s="42">
        <v>-1000</v>
      </c>
      <c r="J302" s="42">
        <v>1340.4</v>
      </c>
      <c r="K302" s="42">
        <f>SUM(H302:J302)</f>
        <v>5780.4</v>
      </c>
      <c r="L302" s="42">
        <f>600-342</f>
        <v>258</v>
      </c>
      <c r="M302" s="42"/>
      <c r="N302" s="42">
        <f>SUM(K302:M302)</f>
        <v>6038.4</v>
      </c>
    </row>
    <row r="303" spans="1:14" ht="12.75" customHeight="1">
      <c r="A303" s="6" t="s">
        <v>35</v>
      </c>
      <c r="B303" s="44">
        <f>SUM(B305:B311)</f>
        <v>82190.5</v>
      </c>
      <c r="C303" s="44">
        <f>SUM(C305:C311)</f>
        <v>350</v>
      </c>
      <c r="D303" s="44">
        <f>SUM(D305:D311)</f>
        <v>11370</v>
      </c>
      <c r="E303" s="44">
        <f>B303+C303+D303</f>
        <v>93910.5</v>
      </c>
      <c r="F303" s="44">
        <f>SUM(F305:F311)</f>
        <v>9700</v>
      </c>
      <c r="G303" s="44">
        <f>SUM(G305:G311)</f>
        <v>-19135</v>
      </c>
      <c r="H303" s="44">
        <f>E303+F303+G303</f>
        <v>84475.5</v>
      </c>
      <c r="I303" s="44">
        <f>SUM(I305:I311)</f>
        <v>0</v>
      </c>
      <c r="J303" s="44">
        <f>SUM(J305:J311)</f>
        <v>5977.1</v>
      </c>
      <c r="K303" s="44">
        <f>H303+I303+J303</f>
        <v>90452.6</v>
      </c>
      <c r="L303" s="44">
        <f>SUM(L305:L311)</f>
        <v>-10583.5</v>
      </c>
      <c r="M303" s="44">
        <f>SUM(M305:M311)</f>
        <v>0</v>
      </c>
      <c r="N303" s="44">
        <f>K303+L303+M303</f>
        <v>79869.1</v>
      </c>
    </row>
    <row r="304" spans="1:14" ht="10.5" customHeight="1">
      <c r="A304" s="3" t="s">
        <v>1</v>
      </c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</row>
    <row r="305" spans="1:14" ht="12.75" customHeight="1">
      <c r="A305" s="5" t="s">
        <v>151</v>
      </c>
      <c r="B305" s="42"/>
      <c r="C305" s="42">
        <v>350</v>
      </c>
      <c r="D305" s="42"/>
      <c r="E305" s="42">
        <f>B305+C305+D305</f>
        <v>350</v>
      </c>
      <c r="F305" s="42"/>
      <c r="G305" s="42"/>
      <c r="H305" s="42">
        <f>E305+F305+G305</f>
        <v>350</v>
      </c>
      <c r="I305" s="42"/>
      <c r="J305" s="42"/>
      <c r="K305" s="42">
        <f>H305+I305+J305</f>
        <v>350</v>
      </c>
      <c r="L305" s="42">
        <v>2850</v>
      </c>
      <c r="M305" s="42"/>
      <c r="N305" s="42">
        <f>K305+L305+M305</f>
        <v>3200</v>
      </c>
    </row>
    <row r="306" spans="1:14" ht="12.75" customHeight="1">
      <c r="A306" s="4" t="s">
        <v>72</v>
      </c>
      <c r="B306" s="42"/>
      <c r="C306" s="42"/>
      <c r="D306" s="42">
        <v>20000</v>
      </c>
      <c r="E306" s="42">
        <f>SUM(B306:D306)</f>
        <v>20000</v>
      </c>
      <c r="F306" s="42"/>
      <c r="G306" s="42"/>
      <c r="H306" s="42">
        <f>SUM(E306:G306)</f>
        <v>20000</v>
      </c>
      <c r="I306" s="42"/>
      <c r="J306" s="42">
        <v>2117.5</v>
      </c>
      <c r="K306" s="42">
        <f>SUM(H306:J306)</f>
        <v>22117.5</v>
      </c>
      <c r="L306" s="42">
        <v>-300</v>
      </c>
      <c r="M306" s="42"/>
      <c r="N306" s="42">
        <f>SUM(K306:M306)</f>
        <v>21817.5</v>
      </c>
    </row>
    <row r="307" spans="1:14" ht="12.75" customHeight="1">
      <c r="A307" s="4" t="s">
        <v>41</v>
      </c>
      <c r="B307" s="42"/>
      <c r="C307" s="42"/>
      <c r="D307" s="42"/>
      <c r="E307" s="42"/>
      <c r="F307" s="42"/>
      <c r="G307" s="42"/>
      <c r="H307" s="42"/>
      <c r="I307" s="42"/>
      <c r="J307" s="42">
        <v>200</v>
      </c>
      <c r="K307" s="42">
        <f>SUM(H307:J307)</f>
        <v>200</v>
      </c>
      <c r="L307" s="42"/>
      <c r="M307" s="42"/>
      <c r="N307" s="42">
        <f>SUM(K307:M307)</f>
        <v>200</v>
      </c>
    </row>
    <row r="308" spans="1:14" ht="12.75" customHeight="1">
      <c r="A308" s="4" t="s">
        <v>229</v>
      </c>
      <c r="B308" s="42"/>
      <c r="C308" s="42"/>
      <c r="D308" s="42"/>
      <c r="E308" s="42"/>
      <c r="F308" s="42"/>
      <c r="G308" s="42"/>
      <c r="H308" s="42"/>
      <c r="I308" s="42"/>
      <c r="J308" s="42">
        <v>5000</v>
      </c>
      <c r="K308" s="42">
        <f>SUM(H308:J308)</f>
        <v>5000</v>
      </c>
      <c r="L308" s="42"/>
      <c r="M308" s="42"/>
      <c r="N308" s="42">
        <f>SUM(K308:M308)</f>
        <v>5000</v>
      </c>
    </row>
    <row r="309" spans="1:14" ht="12.75" customHeight="1">
      <c r="A309" s="4" t="s">
        <v>44</v>
      </c>
      <c r="B309" s="42"/>
      <c r="C309" s="42"/>
      <c r="D309" s="42"/>
      <c r="E309" s="42"/>
      <c r="F309" s="42">
        <v>9700</v>
      </c>
      <c r="G309" s="42"/>
      <c r="H309" s="42">
        <f>SUM(E309:G309)</f>
        <v>9700</v>
      </c>
      <c r="I309" s="42"/>
      <c r="J309" s="42">
        <v>-1340.4</v>
      </c>
      <c r="K309" s="42">
        <f>SUM(H309:J309)</f>
        <v>8359.6</v>
      </c>
      <c r="L309" s="42">
        <f>1400+342</f>
        <v>1742</v>
      </c>
      <c r="M309" s="42"/>
      <c r="N309" s="42">
        <f>SUM(K309:M309)</f>
        <v>10101.6</v>
      </c>
    </row>
    <row r="310" spans="1:14" ht="12.75" customHeight="1">
      <c r="A310" s="30" t="s">
        <v>182</v>
      </c>
      <c r="B310" s="40"/>
      <c r="C310" s="40"/>
      <c r="D310" s="40">
        <v>3500</v>
      </c>
      <c r="E310" s="42">
        <f>B310+C310+D310</f>
        <v>3500</v>
      </c>
      <c r="F310" s="40"/>
      <c r="G310" s="40"/>
      <c r="H310" s="42">
        <f>E310+F310+G310</f>
        <v>3500</v>
      </c>
      <c r="I310" s="40"/>
      <c r="J310" s="40"/>
      <c r="K310" s="42">
        <f>H310+I310+J310</f>
        <v>3500</v>
      </c>
      <c r="L310" s="40"/>
      <c r="M310" s="40"/>
      <c r="N310" s="42">
        <f>K310+L310+M310</f>
        <v>3500</v>
      </c>
    </row>
    <row r="311" spans="1:14" ht="12.75" customHeight="1">
      <c r="A311" s="37" t="s">
        <v>153</v>
      </c>
      <c r="B311" s="48">
        <v>82190.5</v>
      </c>
      <c r="C311" s="48"/>
      <c r="D311" s="48">
        <v>-12130</v>
      </c>
      <c r="E311" s="46">
        <f>B311+C311+D311</f>
        <v>70060.5</v>
      </c>
      <c r="F311" s="48"/>
      <c r="G311" s="48">
        <v>-19135</v>
      </c>
      <c r="H311" s="46">
        <f>E311+F311+G311</f>
        <v>50925.5</v>
      </c>
      <c r="I311" s="48"/>
      <c r="J311" s="48"/>
      <c r="K311" s="46">
        <f>H311+I311+J311</f>
        <v>50925.5</v>
      </c>
      <c r="L311" s="48">
        <v>-14875.5</v>
      </c>
      <c r="M311" s="48"/>
      <c r="N311" s="46">
        <f>K311+L311+M311</f>
        <v>36050</v>
      </c>
    </row>
    <row r="312" spans="1:14" ht="18.75" customHeight="1">
      <c r="A312" s="2" t="s">
        <v>85</v>
      </c>
      <c r="B312" s="39">
        <f aca="true" t="shared" si="51" ref="B312:N312">B313+B316</f>
        <v>5705</v>
      </c>
      <c r="C312" s="39">
        <f t="shared" si="51"/>
        <v>0</v>
      </c>
      <c r="D312" s="39">
        <f t="shared" si="51"/>
        <v>0</v>
      </c>
      <c r="E312" s="39">
        <f t="shared" si="51"/>
        <v>5705</v>
      </c>
      <c r="F312" s="39">
        <f t="shared" si="51"/>
        <v>0</v>
      </c>
      <c r="G312" s="39">
        <f t="shared" si="51"/>
        <v>0</v>
      </c>
      <c r="H312" s="39">
        <f t="shared" si="51"/>
        <v>5705</v>
      </c>
      <c r="I312" s="39">
        <f t="shared" si="51"/>
        <v>0</v>
      </c>
      <c r="J312" s="39">
        <f t="shared" si="51"/>
        <v>0</v>
      </c>
      <c r="K312" s="39">
        <f t="shared" si="51"/>
        <v>5705</v>
      </c>
      <c r="L312" s="39">
        <f t="shared" si="51"/>
        <v>-1750</v>
      </c>
      <c r="M312" s="39">
        <f t="shared" si="51"/>
        <v>0</v>
      </c>
      <c r="N312" s="39">
        <f t="shared" si="51"/>
        <v>3955</v>
      </c>
    </row>
    <row r="313" spans="1:14" ht="12.75" customHeight="1">
      <c r="A313" s="6" t="s">
        <v>34</v>
      </c>
      <c r="B313" s="44">
        <f>SUM(B315:B315)</f>
        <v>4215</v>
      </c>
      <c r="C313" s="44">
        <f>SUM(C315:C315)</f>
        <v>-952</v>
      </c>
      <c r="D313" s="44">
        <f>SUM(D315:D315)</f>
        <v>0</v>
      </c>
      <c r="E313" s="44">
        <f>B313+C313+D313</f>
        <v>3263</v>
      </c>
      <c r="F313" s="44">
        <f>SUM(F315:F315)</f>
        <v>0</v>
      </c>
      <c r="G313" s="44">
        <f>SUM(G315:G315)</f>
        <v>0</v>
      </c>
      <c r="H313" s="44">
        <f>E313+F313+G313</f>
        <v>3263</v>
      </c>
      <c r="I313" s="44">
        <f>SUM(I315:I315)</f>
        <v>-1000</v>
      </c>
      <c r="J313" s="44">
        <f>SUM(J315:J315)</f>
        <v>0</v>
      </c>
      <c r="K313" s="44">
        <f>H313+I313+J313</f>
        <v>2263</v>
      </c>
      <c r="L313" s="44">
        <f>SUM(L315:L315)</f>
        <v>-850</v>
      </c>
      <c r="M313" s="44">
        <f>SUM(M315:M315)</f>
        <v>0</v>
      </c>
      <c r="N313" s="44">
        <f>K313+L313+M313</f>
        <v>1413</v>
      </c>
    </row>
    <row r="314" spans="1:14" ht="10.5" customHeight="1">
      <c r="A314" s="3" t="s">
        <v>1</v>
      </c>
      <c r="B314" s="42"/>
      <c r="C314" s="42"/>
      <c r="D314" s="42"/>
      <c r="E314" s="39"/>
      <c r="F314" s="42"/>
      <c r="G314" s="42"/>
      <c r="H314" s="39"/>
      <c r="I314" s="42"/>
      <c r="J314" s="42"/>
      <c r="K314" s="39"/>
      <c r="L314" s="42"/>
      <c r="M314" s="42"/>
      <c r="N314" s="39"/>
    </row>
    <row r="315" spans="1:14" ht="12.75" customHeight="1">
      <c r="A315" s="4" t="s">
        <v>9</v>
      </c>
      <c r="B315" s="42">
        <v>4215</v>
      </c>
      <c r="C315" s="42">
        <v>-952</v>
      </c>
      <c r="D315" s="42"/>
      <c r="E315" s="42">
        <f>B315+C315+D315</f>
        <v>3263</v>
      </c>
      <c r="F315" s="42"/>
      <c r="G315" s="42"/>
      <c r="H315" s="42">
        <f>E315+F315+G315</f>
        <v>3263</v>
      </c>
      <c r="I315" s="42">
        <v>-1000</v>
      </c>
      <c r="J315" s="42"/>
      <c r="K315" s="42">
        <f>H315+I315+J315</f>
        <v>2263</v>
      </c>
      <c r="L315" s="42">
        <v>-850</v>
      </c>
      <c r="M315" s="42"/>
      <c r="N315" s="42">
        <f>K315+L315+M315</f>
        <v>1413</v>
      </c>
    </row>
    <row r="316" spans="1:14" ht="12.75" customHeight="1">
      <c r="A316" s="6" t="s">
        <v>35</v>
      </c>
      <c r="B316" s="44">
        <f>SUM(B318:B318)</f>
        <v>1490</v>
      </c>
      <c r="C316" s="44">
        <f>SUM(C318:C318)</f>
        <v>952</v>
      </c>
      <c r="D316" s="44">
        <f>SUM(D318:D318)</f>
        <v>0</v>
      </c>
      <c r="E316" s="44">
        <f>B316+C316+D316</f>
        <v>2442</v>
      </c>
      <c r="F316" s="44">
        <f>SUM(F318:F318)</f>
        <v>0</v>
      </c>
      <c r="G316" s="44">
        <f>SUM(G318:G318)</f>
        <v>0</v>
      </c>
      <c r="H316" s="44">
        <f>E316+F316+G316</f>
        <v>2442</v>
      </c>
      <c r="I316" s="44">
        <f>SUM(I318:I318)</f>
        <v>1000</v>
      </c>
      <c r="J316" s="44">
        <f>SUM(J318:J318)</f>
        <v>0</v>
      </c>
      <c r="K316" s="44">
        <f>H316+I316+J316</f>
        <v>3442</v>
      </c>
      <c r="L316" s="44">
        <f>SUM(L318:L318)</f>
        <v>-900</v>
      </c>
      <c r="M316" s="44">
        <f>SUM(M318:M318)</f>
        <v>0</v>
      </c>
      <c r="N316" s="44">
        <f>K316+L316+M316</f>
        <v>2542</v>
      </c>
    </row>
    <row r="317" spans="1:14" ht="10.5" customHeight="1">
      <c r="A317" s="3" t="s">
        <v>1</v>
      </c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</row>
    <row r="318" spans="1:14" ht="12.75" customHeight="1">
      <c r="A318" s="32" t="s">
        <v>41</v>
      </c>
      <c r="B318" s="46">
        <v>1490</v>
      </c>
      <c r="C318" s="46">
        <v>952</v>
      </c>
      <c r="D318" s="46"/>
      <c r="E318" s="46">
        <f>B318+C318+D318</f>
        <v>2442</v>
      </c>
      <c r="F318" s="46"/>
      <c r="G318" s="46"/>
      <c r="H318" s="46">
        <f>E318+F318+G318</f>
        <v>2442</v>
      </c>
      <c r="I318" s="46">
        <v>1000</v>
      </c>
      <c r="J318" s="46"/>
      <c r="K318" s="46">
        <f>H318+I318+J318</f>
        <v>3442</v>
      </c>
      <c r="L318" s="46">
        <v>-900</v>
      </c>
      <c r="M318" s="46"/>
      <c r="N318" s="46">
        <f>K318+L318+M318</f>
        <v>2542</v>
      </c>
    </row>
    <row r="319" spans="1:14" ht="18.75" customHeight="1">
      <c r="A319" s="2" t="s">
        <v>22</v>
      </c>
      <c r="B319" s="39">
        <f aca="true" t="shared" si="52" ref="B319:N319">B320</f>
        <v>59734</v>
      </c>
      <c r="C319" s="39">
        <f t="shared" si="52"/>
        <v>-650</v>
      </c>
      <c r="D319" s="39">
        <f t="shared" si="52"/>
        <v>-470</v>
      </c>
      <c r="E319" s="39">
        <f t="shared" si="52"/>
        <v>58614</v>
      </c>
      <c r="F319" s="39">
        <f t="shared" si="52"/>
        <v>-21723.6</v>
      </c>
      <c r="G319" s="39">
        <f t="shared" si="52"/>
        <v>1983.1999999999998</v>
      </c>
      <c r="H319" s="39">
        <f t="shared" si="52"/>
        <v>38873.6</v>
      </c>
      <c r="I319" s="39">
        <f t="shared" si="52"/>
        <v>0</v>
      </c>
      <c r="J319" s="39">
        <f t="shared" si="52"/>
        <v>0</v>
      </c>
      <c r="K319" s="39">
        <f t="shared" si="52"/>
        <v>38873.6</v>
      </c>
      <c r="L319" s="39">
        <f t="shared" si="52"/>
        <v>-216.60000000000002</v>
      </c>
      <c r="M319" s="39">
        <f t="shared" si="52"/>
        <v>0</v>
      </c>
      <c r="N319" s="39">
        <f t="shared" si="52"/>
        <v>38657</v>
      </c>
    </row>
    <row r="320" spans="1:14" ht="15" customHeight="1">
      <c r="A320" s="6" t="s">
        <v>34</v>
      </c>
      <c r="B320" s="44">
        <f>SUM(B322:B326)</f>
        <v>59734</v>
      </c>
      <c r="C320" s="44">
        <f>SUM(C322:C326)</f>
        <v>-650</v>
      </c>
      <c r="D320" s="44">
        <f>SUM(D322:D326)</f>
        <v>-470</v>
      </c>
      <c r="E320" s="44">
        <f>B320+C320+D320</f>
        <v>58614</v>
      </c>
      <c r="F320" s="44">
        <f>SUM(F322:F326)</f>
        <v>-21723.6</v>
      </c>
      <c r="G320" s="44">
        <f>SUM(G322:G326)</f>
        <v>1983.1999999999998</v>
      </c>
      <c r="H320" s="44">
        <f>E320+F320+G320</f>
        <v>38873.6</v>
      </c>
      <c r="I320" s="44">
        <f>SUM(I322:I326)</f>
        <v>0</v>
      </c>
      <c r="J320" s="44">
        <f>SUM(J322:J326)</f>
        <v>0</v>
      </c>
      <c r="K320" s="44">
        <f>H320+I320+J320</f>
        <v>38873.6</v>
      </c>
      <c r="L320" s="44">
        <f>SUM(L322:L326)</f>
        <v>-216.60000000000002</v>
      </c>
      <c r="M320" s="44">
        <f>SUM(M322:M326)</f>
        <v>0</v>
      </c>
      <c r="N320" s="44">
        <f>K320+L320+M320</f>
        <v>38657</v>
      </c>
    </row>
    <row r="321" spans="1:14" ht="10.5" customHeight="1">
      <c r="A321" s="3" t="s">
        <v>1</v>
      </c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1:14" ht="12.75" customHeight="1">
      <c r="A322" s="30" t="s">
        <v>136</v>
      </c>
      <c r="B322" s="42">
        <v>39734</v>
      </c>
      <c r="C322" s="42">
        <v>-650</v>
      </c>
      <c r="D322" s="42">
        <v>-470</v>
      </c>
      <c r="E322" s="42">
        <f>B322+C322+D322</f>
        <v>38614</v>
      </c>
      <c r="F322" s="42">
        <f>-27913.6-10000</f>
        <v>-37913.6</v>
      </c>
      <c r="G322" s="42">
        <v>-360</v>
      </c>
      <c r="H322" s="42">
        <f>E322+F322+G322</f>
        <v>340.40000000000146</v>
      </c>
      <c r="I322" s="42"/>
      <c r="J322" s="42"/>
      <c r="K322" s="42">
        <f>H322+I322+J322</f>
        <v>340.40000000000146</v>
      </c>
      <c r="L322" s="40">
        <f>1257.3-500-200-773.9</f>
        <v>-216.60000000000002</v>
      </c>
      <c r="M322" s="42"/>
      <c r="N322" s="42">
        <f>K322+L322+M322</f>
        <v>123.80000000000143</v>
      </c>
    </row>
    <row r="323" spans="1:14" ht="12.75" customHeight="1">
      <c r="A323" s="30" t="s">
        <v>212</v>
      </c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</row>
    <row r="324" spans="1:14" ht="12.75" customHeight="1">
      <c r="A324" s="30" t="s">
        <v>197</v>
      </c>
      <c r="B324" s="42"/>
      <c r="C324" s="42"/>
      <c r="D324" s="42"/>
      <c r="E324" s="42"/>
      <c r="F324" s="42">
        <v>16190</v>
      </c>
      <c r="G324" s="42"/>
      <c r="H324" s="42">
        <f>E324+F324+G324</f>
        <v>16190</v>
      </c>
      <c r="I324" s="42"/>
      <c r="J324" s="42"/>
      <c r="K324" s="42">
        <f>H324+I324+J324</f>
        <v>16190</v>
      </c>
      <c r="L324" s="42"/>
      <c r="M324" s="42"/>
      <c r="N324" s="42">
        <f>K324+L324+M324</f>
        <v>16190</v>
      </c>
    </row>
    <row r="325" spans="1:14" ht="12.75" customHeight="1">
      <c r="A325" s="30" t="s">
        <v>213</v>
      </c>
      <c r="B325" s="42"/>
      <c r="C325" s="42"/>
      <c r="D325" s="42"/>
      <c r="E325" s="42"/>
      <c r="F325" s="42"/>
      <c r="G325" s="42">
        <v>2343.2</v>
      </c>
      <c r="H325" s="42">
        <f>E325+F325+G325</f>
        <v>2343.2</v>
      </c>
      <c r="I325" s="42"/>
      <c r="J325" s="42"/>
      <c r="K325" s="42">
        <f>H325+I325+J325</f>
        <v>2343.2</v>
      </c>
      <c r="L325" s="42"/>
      <c r="M325" s="42"/>
      <c r="N325" s="42">
        <f>K325+L325+M325</f>
        <v>2343.2</v>
      </c>
    </row>
    <row r="326" spans="1:14" ht="12.75" customHeight="1">
      <c r="A326" s="36" t="s">
        <v>9</v>
      </c>
      <c r="B326" s="46">
        <v>20000</v>
      </c>
      <c r="C326" s="46"/>
      <c r="D326" s="46"/>
      <c r="E326" s="46">
        <f>B326+C326+D326</f>
        <v>20000</v>
      </c>
      <c r="F326" s="46"/>
      <c r="G326" s="46"/>
      <c r="H326" s="46">
        <f>E326+F326+G326</f>
        <v>20000</v>
      </c>
      <c r="I326" s="46"/>
      <c r="J326" s="46"/>
      <c r="K326" s="46">
        <f>H326+I326+J326</f>
        <v>20000</v>
      </c>
      <c r="L326" s="46"/>
      <c r="M326" s="46"/>
      <c r="N326" s="46">
        <f>K326+L326+M326</f>
        <v>20000</v>
      </c>
    </row>
    <row r="327" spans="1:14" ht="19.5" customHeight="1">
      <c r="A327" s="2" t="s">
        <v>78</v>
      </c>
      <c r="B327" s="39">
        <f>B329+B330</f>
        <v>428487</v>
      </c>
      <c r="C327" s="39">
        <f>C329+C330</f>
        <v>108118.00000000001</v>
      </c>
      <c r="D327" s="39">
        <f>D329+D330</f>
        <v>2000</v>
      </c>
      <c r="E327" s="39">
        <f>B327+C327+D327</f>
        <v>538605</v>
      </c>
      <c r="F327" s="39">
        <f>F329+F330</f>
        <v>39266.799999999996</v>
      </c>
      <c r="G327" s="39">
        <f>G329+G330</f>
        <v>179278.7</v>
      </c>
      <c r="H327" s="39">
        <f>E327+F327+G327</f>
        <v>757150.5</v>
      </c>
      <c r="I327" s="39">
        <f>I329+I330</f>
        <v>-749</v>
      </c>
      <c r="J327" s="39">
        <f>J329+J330</f>
        <v>15470.300000000003</v>
      </c>
      <c r="K327" s="39">
        <f>H327+I327+J327</f>
        <v>771871.8</v>
      </c>
      <c r="L327" s="39">
        <f>L329+L330</f>
        <v>25200.499999999996</v>
      </c>
      <c r="M327" s="39">
        <f>M329+M330</f>
        <v>0</v>
      </c>
      <c r="N327" s="39">
        <f>K327+L327+M327</f>
        <v>797072.3</v>
      </c>
    </row>
    <row r="328" spans="1:14" ht="10.5" customHeight="1">
      <c r="A328" s="8" t="s">
        <v>1</v>
      </c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1:14" ht="12.75" customHeight="1">
      <c r="A329" s="2" t="s">
        <v>34</v>
      </c>
      <c r="B329" s="39">
        <f>B346+B362+B366+B358+B349</f>
        <v>9350</v>
      </c>
      <c r="C329" s="39">
        <f>C346+C362+C366+C358+C349+C357</f>
        <v>16473</v>
      </c>
      <c r="D329" s="39">
        <f>D346+D362+D366+D358+D349</f>
        <v>0</v>
      </c>
      <c r="E329" s="39">
        <f>B329+C329+D329</f>
        <v>25823</v>
      </c>
      <c r="F329" s="39">
        <f>F346+F362+F366+F358+F349+F357</f>
        <v>5023</v>
      </c>
      <c r="G329" s="39">
        <f>G346+G362+G366+G358+G349</f>
        <v>1373</v>
      </c>
      <c r="H329" s="39">
        <f>E329+F329+G329</f>
        <v>32219</v>
      </c>
      <c r="I329" s="39">
        <f>I346+I362+I366+I358+I349+I357</f>
        <v>9788</v>
      </c>
      <c r="J329" s="39">
        <f>J346+J362+J366+J358+J349</f>
        <v>0</v>
      </c>
      <c r="K329" s="39">
        <f>H329+I329+J329</f>
        <v>42007</v>
      </c>
      <c r="L329" s="39">
        <f>L346+L362+L366+L358+L349+L357+L355</f>
        <v>8933.8</v>
      </c>
      <c r="M329" s="39">
        <f>M346+M362+M366+M358+M349</f>
        <v>0</v>
      </c>
      <c r="N329" s="39">
        <f>K329+L329+M329</f>
        <v>50940.8</v>
      </c>
    </row>
    <row r="330" spans="1:14" ht="12.75" customHeight="1">
      <c r="A330" s="2" t="s">
        <v>35</v>
      </c>
      <c r="B330" s="39">
        <f>B332+B335+B340+B344+B345+B347+B352+B360+B364-B329+B369</f>
        <v>419137</v>
      </c>
      <c r="C330" s="39">
        <f>C332+C335+C340+C344+C345+C347+C352+C360+C364-C329+C369+C339</f>
        <v>91645.00000000001</v>
      </c>
      <c r="D330" s="39">
        <f>D332+D335+D340+D344+D345+D347+D352+D360+D364-D329+D369</f>
        <v>2000</v>
      </c>
      <c r="E330" s="39">
        <f>E332+E335+E340+E344+E345+E347+E352+E360+E364-E329+E369+E339</f>
        <v>512782</v>
      </c>
      <c r="F330" s="39">
        <f>F332+F335+F340+F344+F345+F347+F352+F360+F364-F329+F369+F339</f>
        <v>34243.799999999996</v>
      </c>
      <c r="G330" s="39">
        <f>G332+G335+G340+G344+G345+G347+G352+G360+G364-G329+G369</f>
        <v>177905.7</v>
      </c>
      <c r="H330" s="39">
        <f>H332+H335+H340+H344+H345+H347+H352+H360+H364-H329+H369+H339</f>
        <v>724931.5000000002</v>
      </c>
      <c r="I330" s="39">
        <f>I332+I335+I340+I344+I345+I347+I352+I360+I364-I329+I369+I339</f>
        <v>-10537</v>
      </c>
      <c r="J330" s="39">
        <f>J332+J335+J340+J344+J345+J347+J352+J360+J364-J329+J369</f>
        <v>15470.300000000003</v>
      </c>
      <c r="K330" s="39">
        <f>K332+K335+K340+K344+K345+K347+K352+K360+K364-K329+K369+K339</f>
        <v>729864.8</v>
      </c>
      <c r="L330" s="39">
        <f>L332+L335+L340+L344+L345+L347+L352+L360+L364-L329+L369+L339</f>
        <v>16266.699999999997</v>
      </c>
      <c r="M330" s="39">
        <f>M332+M335+M340+M344+M345+M347+M352+M360+M364-M329+M369</f>
        <v>0</v>
      </c>
      <c r="N330" s="39">
        <f>N332+N335+N340+N344+N345+N347+N352+N360+N364-N329+N369+N339</f>
        <v>746131.5</v>
      </c>
    </row>
    <row r="331" spans="1:14" ht="12.75" customHeight="1">
      <c r="A331" s="10" t="s">
        <v>46</v>
      </c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1:14" ht="12.75" customHeight="1">
      <c r="A332" s="8" t="s">
        <v>137</v>
      </c>
      <c r="B332" s="40">
        <f>B333+B334</f>
        <v>2187</v>
      </c>
      <c r="C332" s="40">
        <f>C333+C334</f>
        <v>209.20000000000005</v>
      </c>
      <c r="D332" s="39"/>
      <c r="E332" s="42">
        <f>B332+C332</f>
        <v>2396.2</v>
      </c>
      <c r="F332" s="40">
        <f>F333+F334</f>
        <v>0</v>
      </c>
      <c r="G332" s="39"/>
      <c r="H332" s="42">
        <f>E332+F332</f>
        <v>2396.2</v>
      </c>
      <c r="I332" s="40">
        <f>I333+I334</f>
        <v>-800</v>
      </c>
      <c r="J332" s="39"/>
      <c r="K332" s="42">
        <f>H332+I332</f>
        <v>1596.1999999999998</v>
      </c>
      <c r="L332" s="40"/>
      <c r="M332" s="39"/>
      <c r="N332" s="42">
        <f>K332+L332</f>
        <v>1596.1999999999998</v>
      </c>
    </row>
    <row r="333" spans="1:14" ht="12.75" customHeight="1">
      <c r="A333" s="8" t="s">
        <v>100</v>
      </c>
      <c r="B333" s="40">
        <v>2150</v>
      </c>
      <c r="C333" s="40">
        <f>-530+739.2</f>
        <v>209.20000000000005</v>
      </c>
      <c r="D333" s="39"/>
      <c r="E333" s="42">
        <f>SUM(B333:D333)</f>
        <v>2359.2</v>
      </c>
      <c r="F333" s="40"/>
      <c r="G333" s="39"/>
      <c r="H333" s="42">
        <f>SUM(E333:G333)</f>
        <v>2359.2</v>
      </c>
      <c r="I333" s="40">
        <v>-800</v>
      </c>
      <c r="J333" s="39"/>
      <c r="K333" s="42">
        <f>SUM(H333:J333)</f>
        <v>1559.1999999999998</v>
      </c>
      <c r="L333" s="40"/>
      <c r="M333" s="39"/>
      <c r="N333" s="42">
        <f>SUM(K333:M333)</f>
        <v>1559.1999999999998</v>
      </c>
    </row>
    <row r="334" spans="1:14" ht="12.75" customHeight="1">
      <c r="A334" s="8" t="s">
        <v>97</v>
      </c>
      <c r="B334" s="40">
        <v>37</v>
      </c>
      <c r="C334" s="40"/>
      <c r="D334" s="39"/>
      <c r="E334" s="42">
        <f>SUM(B334:D334)</f>
        <v>37</v>
      </c>
      <c r="F334" s="40"/>
      <c r="G334" s="39"/>
      <c r="H334" s="42">
        <f>SUM(E334:G334)</f>
        <v>37</v>
      </c>
      <c r="I334" s="40"/>
      <c r="J334" s="39"/>
      <c r="K334" s="42">
        <f>SUM(H334:J334)</f>
        <v>37</v>
      </c>
      <c r="L334" s="40"/>
      <c r="M334" s="39"/>
      <c r="N334" s="42">
        <f>SUM(K334:M334)</f>
        <v>37</v>
      </c>
    </row>
    <row r="335" spans="1:14" ht="12.75" customHeight="1">
      <c r="A335" s="8" t="s">
        <v>101</v>
      </c>
      <c r="B335" s="40">
        <f>B336+B337</f>
        <v>20000</v>
      </c>
      <c r="C335" s="40">
        <f>C336+C337+C338</f>
        <v>212</v>
      </c>
      <c r="D335" s="39"/>
      <c r="E335" s="42">
        <f>B335+C335</f>
        <v>20212</v>
      </c>
      <c r="F335" s="40">
        <f>F336+F337+F338</f>
        <v>0</v>
      </c>
      <c r="G335" s="39"/>
      <c r="H335" s="42">
        <f>E335+F335</f>
        <v>20212</v>
      </c>
      <c r="I335" s="40"/>
      <c r="J335" s="39"/>
      <c r="K335" s="42">
        <f>H335+I335</f>
        <v>20212</v>
      </c>
      <c r="L335" s="40">
        <f>SUM(L336:L338)</f>
        <v>1940</v>
      </c>
      <c r="M335" s="39"/>
      <c r="N335" s="42">
        <f>K335+L335</f>
        <v>22152</v>
      </c>
    </row>
    <row r="336" spans="1:14" ht="12.75" customHeight="1">
      <c r="A336" s="8" t="s">
        <v>100</v>
      </c>
      <c r="B336" s="40">
        <v>10000</v>
      </c>
      <c r="C336" s="40"/>
      <c r="D336" s="39"/>
      <c r="E336" s="42">
        <f>SUM(B336:D336)</f>
        <v>10000</v>
      </c>
      <c r="F336" s="40">
        <v>212</v>
      </c>
      <c r="G336" s="39"/>
      <c r="H336" s="42">
        <f>SUM(E336:G336)</f>
        <v>10212</v>
      </c>
      <c r="I336" s="40"/>
      <c r="J336" s="39"/>
      <c r="K336" s="42">
        <f>SUM(H336:J336)</f>
        <v>10212</v>
      </c>
      <c r="L336" s="40">
        <v>1940</v>
      </c>
      <c r="M336" s="39"/>
      <c r="N336" s="42">
        <f>SUM(K336:M336)</f>
        <v>12152</v>
      </c>
    </row>
    <row r="337" spans="1:14" ht="12.75" customHeight="1">
      <c r="A337" s="8" t="s">
        <v>209</v>
      </c>
      <c r="B337" s="40">
        <v>10000</v>
      </c>
      <c r="C337" s="40"/>
      <c r="D337" s="39"/>
      <c r="E337" s="42">
        <f>SUM(B337:D337)</f>
        <v>10000</v>
      </c>
      <c r="F337" s="40"/>
      <c r="G337" s="39"/>
      <c r="H337" s="42">
        <f>SUM(E337:G337)</f>
        <v>10000</v>
      </c>
      <c r="I337" s="40"/>
      <c r="J337" s="39"/>
      <c r="K337" s="42">
        <f>SUM(H337:J337)</f>
        <v>10000</v>
      </c>
      <c r="L337" s="40"/>
      <c r="M337" s="39"/>
      <c r="N337" s="42">
        <f>SUM(K337:M337)</f>
        <v>10000</v>
      </c>
    </row>
    <row r="338" spans="1:14" ht="12.75" customHeight="1">
      <c r="A338" s="8" t="s">
        <v>97</v>
      </c>
      <c r="B338" s="40"/>
      <c r="C338" s="40">
        <v>212</v>
      </c>
      <c r="D338" s="39"/>
      <c r="E338" s="42">
        <f>SUM(B338:D338)</f>
        <v>212</v>
      </c>
      <c r="F338" s="40">
        <v>-212</v>
      </c>
      <c r="G338" s="39"/>
      <c r="H338" s="42">
        <f>SUM(E338:G338)</f>
        <v>0</v>
      </c>
      <c r="I338" s="40"/>
      <c r="J338" s="39"/>
      <c r="K338" s="42">
        <f>SUM(H338:J338)</f>
        <v>0</v>
      </c>
      <c r="L338" s="40"/>
      <c r="M338" s="39"/>
      <c r="N338" s="42">
        <f>SUM(K338:M338)</f>
        <v>0</v>
      </c>
    </row>
    <row r="339" spans="1:14" ht="12.75" customHeight="1">
      <c r="A339" s="8" t="s">
        <v>177</v>
      </c>
      <c r="B339" s="40"/>
      <c r="C339" s="40">
        <v>1750</v>
      </c>
      <c r="D339" s="39"/>
      <c r="E339" s="42">
        <v>1750</v>
      </c>
      <c r="F339" s="40"/>
      <c r="G339" s="39"/>
      <c r="H339" s="42">
        <f>SUM(E339:G339)</f>
        <v>1750</v>
      </c>
      <c r="I339" s="40"/>
      <c r="J339" s="39"/>
      <c r="K339" s="42">
        <f>SUM(H339:J339)</f>
        <v>1750</v>
      </c>
      <c r="L339" s="40"/>
      <c r="M339" s="39"/>
      <c r="N339" s="42">
        <f>SUM(K339:M339)</f>
        <v>1750</v>
      </c>
    </row>
    <row r="340" spans="1:14" ht="12.75" customHeight="1">
      <c r="A340" s="8" t="s">
        <v>47</v>
      </c>
      <c r="B340" s="40">
        <f>SUM(B341:B342)</f>
        <v>100000</v>
      </c>
      <c r="C340" s="40">
        <f>SUM(C341:C342)</f>
        <v>1137.7999999999993</v>
      </c>
      <c r="D340" s="40">
        <f>SUM(D341:D341)</f>
        <v>0</v>
      </c>
      <c r="E340" s="42">
        <f>B340+C340+D340</f>
        <v>101137.8</v>
      </c>
      <c r="F340" s="40">
        <f>SUM(F341:F343)</f>
        <v>20232.799999999996</v>
      </c>
      <c r="G340" s="40">
        <f>SUM(G341:G343)</f>
        <v>50000</v>
      </c>
      <c r="H340" s="42">
        <f>E340+F340+G340</f>
        <v>171370.6</v>
      </c>
      <c r="I340" s="40">
        <f>SUM(I341:I343)</f>
        <v>0</v>
      </c>
      <c r="J340" s="40"/>
      <c r="K340" s="42">
        <f>H340+I340+J340</f>
        <v>171370.6</v>
      </c>
      <c r="L340" s="40">
        <f>SUM(L341:L343)</f>
        <v>3099.999999999998</v>
      </c>
      <c r="M340" s="40"/>
      <c r="N340" s="42">
        <f>K340+L340+M340</f>
        <v>174470.6</v>
      </c>
    </row>
    <row r="341" spans="1:14" ht="12.75" customHeight="1">
      <c r="A341" s="8" t="s">
        <v>154</v>
      </c>
      <c r="B341" s="40">
        <v>100000</v>
      </c>
      <c r="C341" s="40">
        <f>1137.8-29394.8</f>
        <v>-28257</v>
      </c>
      <c r="D341" s="40"/>
      <c r="E341" s="42">
        <f>B341+C341+D341</f>
        <v>71743</v>
      </c>
      <c r="F341" s="40">
        <f>-3000-45093</f>
        <v>-48093</v>
      </c>
      <c r="G341" s="40"/>
      <c r="H341" s="42">
        <f>SUM(E341:G341)</f>
        <v>23650</v>
      </c>
      <c r="I341" s="40">
        <v>5900</v>
      </c>
      <c r="J341" s="40"/>
      <c r="K341" s="42">
        <f>SUM(H341:J341)</f>
        <v>29550</v>
      </c>
      <c r="L341" s="40">
        <f>28344+3100</f>
        <v>31444</v>
      </c>
      <c r="M341" s="40"/>
      <c r="N341" s="42">
        <f>SUM(K341:M341)</f>
        <v>60994</v>
      </c>
    </row>
    <row r="342" spans="1:14" ht="12.75" customHeight="1">
      <c r="A342" s="8" t="s">
        <v>199</v>
      </c>
      <c r="B342" s="40"/>
      <c r="C342" s="40">
        <v>29394.8</v>
      </c>
      <c r="D342" s="40"/>
      <c r="E342" s="42">
        <f>B342+C342+D342</f>
        <v>29394.8</v>
      </c>
      <c r="F342" s="40">
        <f>15435.7+45093</f>
        <v>60528.7</v>
      </c>
      <c r="G342" s="40">
        <v>50000</v>
      </c>
      <c r="H342" s="42">
        <f>SUM(E342:G342)</f>
        <v>139923.5</v>
      </c>
      <c r="I342" s="40">
        <v>-5900</v>
      </c>
      <c r="J342" s="40"/>
      <c r="K342" s="42">
        <f>SUM(H342:J342)</f>
        <v>134023.5</v>
      </c>
      <c r="L342" s="40">
        <f>-20546.9</f>
        <v>-20546.9</v>
      </c>
      <c r="M342" s="40"/>
      <c r="N342" s="42">
        <f>SUM(K342:M342)</f>
        <v>113476.6</v>
      </c>
    </row>
    <row r="343" spans="1:14" ht="12.75" customHeight="1">
      <c r="A343" s="8" t="s">
        <v>97</v>
      </c>
      <c r="B343" s="40"/>
      <c r="C343" s="40"/>
      <c r="D343" s="40"/>
      <c r="E343" s="42"/>
      <c r="F343" s="40">
        <v>7797.1</v>
      </c>
      <c r="G343" s="40"/>
      <c r="H343" s="42">
        <f>SUM(E343:G343)</f>
        <v>7797.1</v>
      </c>
      <c r="I343" s="40"/>
      <c r="J343" s="40"/>
      <c r="K343" s="42">
        <f>SUM(H343:J343)</f>
        <v>7797.1</v>
      </c>
      <c r="L343" s="40">
        <f>-7797.1</f>
        <v>-7797.1</v>
      </c>
      <c r="M343" s="40"/>
      <c r="N343" s="42">
        <f>SUM(K343:M343)</f>
        <v>0</v>
      </c>
    </row>
    <row r="344" spans="1:14" ht="12.75" customHeight="1">
      <c r="A344" s="8" t="s">
        <v>73</v>
      </c>
      <c r="B344" s="40">
        <v>300</v>
      </c>
      <c r="C344" s="40"/>
      <c r="D344" s="40"/>
      <c r="E344" s="42">
        <f>B344+C344</f>
        <v>300</v>
      </c>
      <c r="F344" s="40"/>
      <c r="G344" s="40"/>
      <c r="H344" s="42">
        <f>SUM(E344:G344)</f>
        <v>300</v>
      </c>
      <c r="I344" s="40"/>
      <c r="J344" s="40"/>
      <c r="K344" s="42">
        <f>SUM(H344:J344)</f>
        <v>300</v>
      </c>
      <c r="L344" s="40"/>
      <c r="M344" s="40"/>
      <c r="N344" s="42">
        <f>SUM(K344:M344)</f>
        <v>300</v>
      </c>
    </row>
    <row r="345" spans="1:14" ht="12.75" customHeight="1">
      <c r="A345" s="8" t="s">
        <v>99</v>
      </c>
      <c r="B345" s="40">
        <f>B346</f>
        <v>0</v>
      </c>
      <c r="C345" s="40">
        <f>C346</f>
        <v>741.6</v>
      </c>
      <c r="D345" s="40"/>
      <c r="E345" s="42">
        <f>B345+C345+D345</f>
        <v>741.6</v>
      </c>
      <c r="F345" s="40">
        <f>F346</f>
        <v>0</v>
      </c>
      <c r="G345" s="40"/>
      <c r="H345" s="42">
        <f>E345+F345+G345</f>
        <v>741.6</v>
      </c>
      <c r="I345" s="40"/>
      <c r="J345" s="40"/>
      <c r="K345" s="42">
        <f>H345+I345+J345</f>
        <v>741.6</v>
      </c>
      <c r="L345" s="40"/>
      <c r="M345" s="40"/>
      <c r="N345" s="42">
        <f>K345+L345+M345</f>
        <v>741.6</v>
      </c>
    </row>
    <row r="346" spans="1:14" ht="12.75" customHeight="1">
      <c r="A346" s="8" t="s">
        <v>98</v>
      </c>
      <c r="B346" s="40"/>
      <c r="C346" s="40">
        <v>741.6</v>
      </c>
      <c r="D346" s="40"/>
      <c r="E346" s="42">
        <f>B346+C346</f>
        <v>741.6</v>
      </c>
      <c r="F346" s="40"/>
      <c r="G346" s="40"/>
      <c r="H346" s="42">
        <f aca="true" t="shared" si="53" ref="H346:H354">SUM(E346:G346)</f>
        <v>741.6</v>
      </c>
      <c r="I346" s="40"/>
      <c r="J346" s="40"/>
      <c r="K346" s="42">
        <f aca="true" t="shared" si="54" ref="K346:K354">SUM(H346:J346)</f>
        <v>741.6</v>
      </c>
      <c r="L346" s="40"/>
      <c r="M346" s="40"/>
      <c r="N346" s="42">
        <f aca="true" t="shared" si="55" ref="N346:N370">SUM(K346:M346)</f>
        <v>741.6</v>
      </c>
    </row>
    <row r="347" spans="1:14" ht="12.75" customHeight="1">
      <c r="A347" s="8" t="s">
        <v>48</v>
      </c>
      <c r="B347" s="40">
        <f>SUM(B348:B351)</f>
        <v>48000</v>
      </c>
      <c r="C347" s="40">
        <f>SUM(C348:C351)</f>
        <v>7405.4</v>
      </c>
      <c r="D347" s="40">
        <f>SUM(D348:D351)</f>
        <v>2000</v>
      </c>
      <c r="E347" s="42">
        <f aca="true" t="shared" si="56" ref="E347:E354">B347+C347+D347</f>
        <v>57405.4</v>
      </c>
      <c r="F347" s="40">
        <f>SUM(F348:F351)</f>
        <v>6000</v>
      </c>
      <c r="G347" s="40">
        <f>SUM(G348:G351)</f>
        <v>8235.5</v>
      </c>
      <c r="H347" s="42">
        <f t="shared" si="53"/>
        <v>71640.9</v>
      </c>
      <c r="I347" s="40">
        <f>SUM(I348:I351)</f>
        <v>0</v>
      </c>
      <c r="J347" s="40">
        <f>SUM(J348:J351)</f>
        <v>4774.7</v>
      </c>
      <c r="K347" s="42">
        <f t="shared" si="54"/>
        <v>76415.59999999999</v>
      </c>
      <c r="L347" s="40">
        <f>SUM(L348:L351)</f>
        <v>6771.2</v>
      </c>
      <c r="M347" s="40"/>
      <c r="N347" s="42">
        <f t="shared" si="55"/>
        <v>83186.79999999999</v>
      </c>
    </row>
    <row r="348" spans="1:14" ht="12.75" customHeight="1">
      <c r="A348" s="8" t="s">
        <v>155</v>
      </c>
      <c r="B348" s="40">
        <v>48000</v>
      </c>
      <c r="C348" s="40">
        <f>-500+650+5223.7+110.5</f>
        <v>5484.2</v>
      </c>
      <c r="D348" s="40"/>
      <c r="E348" s="42">
        <f t="shared" si="56"/>
        <v>53484.2</v>
      </c>
      <c r="F348" s="40">
        <f>6000+1036</f>
        <v>7036</v>
      </c>
      <c r="G348" s="40">
        <v>8029</v>
      </c>
      <c r="H348" s="42">
        <f t="shared" si="53"/>
        <v>68549.2</v>
      </c>
      <c r="I348" s="40">
        <v>-4800</v>
      </c>
      <c r="J348" s="40">
        <v>1737</v>
      </c>
      <c r="K348" s="42">
        <f t="shared" si="54"/>
        <v>65486.2</v>
      </c>
      <c r="L348" s="40">
        <f>2000+284</f>
        <v>2284</v>
      </c>
      <c r="M348" s="40"/>
      <c r="N348" s="42">
        <f t="shared" si="55"/>
        <v>67770.2</v>
      </c>
    </row>
    <row r="349" spans="1:14" ht="12.75" customHeight="1">
      <c r="A349" s="8" t="s">
        <v>205</v>
      </c>
      <c r="B349" s="40"/>
      <c r="C349" s="40">
        <f>994+195</f>
        <v>1189</v>
      </c>
      <c r="D349" s="40"/>
      <c r="E349" s="42">
        <f t="shared" si="56"/>
        <v>1189</v>
      </c>
      <c r="F349" s="40">
        <v>1060</v>
      </c>
      <c r="G349" s="40"/>
      <c r="H349" s="42">
        <f t="shared" si="53"/>
        <v>2249</v>
      </c>
      <c r="I349" s="40">
        <f>225+4800</f>
        <v>5025</v>
      </c>
      <c r="J349" s="40"/>
      <c r="K349" s="42">
        <f t="shared" si="54"/>
        <v>7274</v>
      </c>
      <c r="L349" s="40">
        <f>-70+773.9+3000</f>
        <v>3703.9</v>
      </c>
      <c r="M349" s="40"/>
      <c r="N349" s="42">
        <f t="shared" si="55"/>
        <v>10977.9</v>
      </c>
    </row>
    <row r="350" spans="1:14" ht="12.75" customHeight="1">
      <c r="A350" s="8" t="s">
        <v>75</v>
      </c>
      <c r="B350" s="40"/>
      <c r="C350" s="40">
        <v>500</v>
      </c>
      <c r="D350" s="40"/>
      <c r="E350" s="42">
        <f t="shared" si="56"/>
        <v>500</v>
      </c>
      <c r="F350" s="40"/>
      <c r="G350" s="40"/>
      <c r="H350" s="42">
        <f t="shared" si="53"/>
        <v>500</v>
      </c>
      <c r="I350" s="40"/>
      <c r="J350" s="40"/>
      <c r="K350" s="42">
        <f t="shared" si="54"/>
        <v>500</v>
      </c>
      <c r="L350" s="40"/>
      <c r="M350" s="40"/>
      <c r="N350" s="42">
        <f t="shared" si="55"/>
        <v>500</v>
      </c>
    </row>
    <row r="351" spans="1:14" ht="12.75" customHeight="1">
      <c r="A351" s="8" t="s">
        <v>93</v>
      </c>
      <c r="B351" s="40"/>
      <c r="C351" s="40">
        <f>74.2+158</f>
        <v>232.2</v>
      </c>
      <c r="D351" s="40">
        <v>2000</v>
      </c>
      <c r="E351" s="42">
        <f t="shared" si="56"/>
        <v>2232.2</v>
      </c>
      <c r="F351" s="40">
        <v>-2096</v>
      </c>
      <c r="G351" s="40">
        <v>206.5</v>
      </c>
      <c r="H351" s="42">
        <f t="shared" si="53"/>
        <v>342.6999999999998</v>
      </c>
      <c r="I351" s="40">
        <v>-225</v>
      </c>
      <c r="J351" s="40">
        <v>3037.7</v>
      </c>
      <c r="K351" s="42">
        <f t="shared" si="54"/>
        <v>3155.3999999999996</v>
      </c>
      <c r="L351" s="40">
        <f>-2000-214+2997.3</f>
        <v>783.3000000000002</v>
      </c>
      <c r="M351" s="40"/>
      <c r="N351" s="42">
        <f t="shared" si="55"/>
        <v>3938.7</v>
      </c>
    </row>
    <row r="352" spans="1:14" ht="12.75" customHeight="1">
      <c r="A352" s="8" t="s">
        <v>49</v>
      </c>
      <c r="B352" s="40">
        <f>SUM(B353:B359)</f>
        <v>150000</v>
      </c>
      <c r="C352" s="40">
        <f>SUM(C353:C359)</f>
        <v>58071.40000000001</v>
      </c>
      <c r="D352" s="40">
        <f>SUM(D353:D359)</f>
        <v>0</v>
      </c>
      <c r="E352" s="42">
        <f t="shared" si="56"/>
        <v>208071.40000000002</v>
      </c>
      <c r="F352" s="40">
        <f>SUM(F353:F359)</f>
        <v>13034</v>
      </c>
      <c r="G352" s="40">
        <f>SUM(G353:G359)</f>
        <v>102556.2</v>
      </c>
      <c r="H352" s="42">
        <f t="shared" si="53"/>
        <v>323661.60000000003</v>
      </c>
      <c r="I352" s="40">
        <f>SUM(I353:I359)</f>
        <v>0</v>
      </c>
      <c r="J352" s="40">
        <f>SUM(J353:J359)</f>
        <v>10695.600000000002</v>
      </c>
      <c r="K352" s="42">
        <f t="shared" si="54"/>
        <v>334357.2</v>
      </c>
      <c r="L352" s="40">
        <f>SUM(L353:L359)</f>
        <v>8031.399999999998</v>
      </c>
      <c r="M352" s="40"/>
      <c r="N352" s="42">
        <f t="shared" si="55"/>
        <v>342388.60000000003</v>
      </c>
    </row>
    <row r="353" spans="1:14" ht="12.75" customHeight="1">
      <c r="A353" s="8" t="s">
        <v>94</v>
      </c>
      <c r="B353" s="40">
        <v>120000</v>
      </c>
      <c r="C353" s="40">
        <f>4892+3712.7-4892+26465.2+20214.2+5000</f>
        <v>55392.100000000006</v>
      </c>
      <c r="D353" s="40"/>
      <c r="E353" s="42">
        <f t="shared" si="56"/>
        <v>175392.1</v>
      </c>
      <c r="F353" s="40">
        <f>915.5+8442.7</f>
        <v>9358.2</v>
      </c>
      <c r="G353" s="40"/>
      <c r="H353" s="42">
        <f t="shared" si="53"/>
        <v>184750.30000000002</v>
      </c>
      <c r="I353" s="40">
        <f>5461+9212</f>
        <v>14673</v>
      </c>
      <c r="J353" s="40">
        <v>20000</v>
      </c>
      <c r="K353" s="42">
        <f t="shared" si="54"/>
        <v>219423.30000000002</v>
      </c>
      <c r="L353" s="40">
        <f>4029+6400+8757.1</f>
        <v>19186.1</v>
      </c>
      <c r="M353" s="40"/>
      <c r="N353" s="42">
        <f t="shared" si="55"/>
        <v>238609.40000000002</v>
      </c>
    </row>
    <row r="354" spans="1:14" ht="12.75" customHeight="1">
      <c r="A354" s="8" t="s">
        <v>156</v>
      </c>
      <c r="B354" s="40">
        <v>30000</v>
      </c>
      <c r="C354" s="40">
        <v>-5000</v>
      </c>
      <c r="D354" s="40"/>
      <c r="E354" s="42">
        <f t="shared" si="56"/>
        <v>25000</v>
      </c>
      <c r="F354" s="40">
        <v>490</v>
      </c>
      <c r="G354" s="40"/>
      <c r="H354" s="42">
        <f t="shared" si="53"/>
        <v>25490</v>
      </c>
      <c r="I354" s="40">
        <f>-7600+7984</f>
        <v>384</v>
      </c>
      <c r="J354" s="40"/>
      <c r="K354" s="42">
        <f t="shared" si="54"/>
        <v>25874</v>
      </c>
      <c r="L354" s="40">
        <f>1663-33.2</f>
        <v>1629.8</v>
      </c>
      <c r="M354" s="40"/>
      <c r="N354" s="42">
        <f t="shared" si="55"/>
        <v>27503.8</v>
      </c>
    </row>
    <row r="355" spans="1:14" ht="12.75" customHeight="1">
      <c r="A355" s="8" t="s">
        <v>242</v>
      </c>
      <c r="B355" s="40"/>
      <c r="C355" s="40"/>
      <c r="D355" s="40"/>
      <c r="E355" s="42"/>
      <c r="F355" s="40"/>
      <c r="G355" s="40"/>
      <c r="H355" s="42"/>
      <c r="I355" s="40"/>
      <c r="J355" s="40"/>
      <c r="K355" s="42"/>
      <c r="L355" s="40">
        <f>1268</f>
        <v>1268</v>
      </c>
      <c r="M355" s="40"/>
      <c r="N355" s="42">
        <f t="shared" si="55"/>
        <v>1268</v>
      </c>
    </row>
    <row r="356" spans="1:14" ht="12.75" customHeight="1">
      <c r="A356" s="8" t="s">
        <v>157</v>
      </c>
      <c r="B356" s="40"/>
      <c r="C356" s="40"/>
      <c r="D356" s="40"/>
      <c r="E356" s="42">
        <f>B356+C356+D356</f>
        <v>0</v>
      </c>
      <c r="F356" s="40">
        <f>5530.8+61</f>
        <v>5591.8</v>
      </c>
      <c r="G356" s="40"/>
      <c r="H356" s="42">
        <f aca="true" t="shared" si="57" ref="H356:H370">SUM(E356:G356)</f>
        <v>5591.8</v>
      </c>
      <c r="I356" s="40">
        <f>4547+1069</f>
        <v>5616</v>
      </c>
      <c r="J356" s="40">
        <v>6264.9</v>
      </c>
      <c r="K356" s="42">
        <f aca="true" t="shared" si="58" ref="K356:K370">SUM(H356:J356)</f>
        <v>17472.699999999997</v>
      </c>
      <c r="L356" s="40">
        <f>94+299.6</f>
        <v>393.6</v>
      </c>
      <c r="M356" s="40"/>
      <c r="N356" s="42">
        <f t="shared" si="55"/>
        <v>17866.299999999996</v>
      </c>
    </row>
    <row r="357" spans="1:14" ht="12.75" customHeight="1">
      <c r="A357" s="8" t="s">
        <v>200</v>
      </c>
      <c r="B357" s="40"/>
      <c r="C357" s="40"/>
      <c r="D357" s="40"/>
      <c r="E357" s="42">
        <f>B357+C357+D357</f>
        <v>0</v>
      </c>
      <c r="F357" s="40">
        <v>800</v>
      </c>
      <c r="G357" s="40"/>
      <c r="H357" s="42">
        <f t="shared" si="57"/>
        <v>800</v>
      </c>
      <c r="I357" s="40"/>
      <c r="J357" s="40"/>
      <c r="K357" s="42">
        <f t="shared" si="58"/>
        <v>800</v>
      </c>
      <c r="L357" s="40">
        <f>23-299.5</f>
        <v>-276.5</v>
      </c>
      <c r="M357" s="40"/>
      <c r="N357" s="42">
        <f t="shared" si="55"/>
        <v>523.5</v>
      </c>
    </row>
    <row r="358" spans="1:14" ht="12.75" customHeight="1">
      <c r="A358" s="8" t="s">
        <v>86</v>
      </c>
      <c r="B358" s="40"/>
      <c r="C358" s="40">
        <f>1179.3</f>
        <v>1179.3</v>
      </c>
      <c r="D358" s="40"/>
      <c r="E358" s="42">
        <f>B358+C358+D358</f>
        <v>1179.3</v>
      </c>
      <c r="F358" s="40">
        <f>3163</f>
        <v>3163</v>
      </c>
      <c r="G358" s="40"/>
      <c r="H358" s="42">
        <f t="shared" si="57"/>
        <v>4342.3</v>
      </c>
      <c r="I358" s="40">
        <f>5000+861</f>
        <v>5861</v>
      </c>
      <c r="J358" s="40"/>
      <c r="K358" s="42">
        <f t="shared" si="58"/>
        <v>10203.3</v>
      </c>
      <c r="L358" s="40">
        <f>2434+1396.4</f>
        <v>3830.4</v>
      </c>
      <c r="M358" s="40"/>
      <c r="N358" s="42">
        <f t="shared" si="55"/>
        <v>14033.699999999999</v>
      </c>
    </row>
    <row r="359" spans="1:14" ht="12.75" customHeight="1">
      <c r="A359" s="8" t="s">
        <v>93</v>
      </c>
      <c r="B359" s="40"/>
      <c r="C359" s="40">
        <f>6500</f>
        <v>6500</v>
      </c>
      <c r="D359" s="40"/>
      <c r="E359" s="42">
        <f>B359+C359+D359</f>
        <v>6500</v>
      </c>
      <c r="F359" s="40">
        <f>9919-6446.3+3115-12956.7</f>
        <v>-6369.000000000001</v>
      </c>
      <c r="G359" s="40">
        <f>2330.2+100226</f>
        <v>102556.2</v>
      </c>
      <c r="H359" s="42">
        <f t="shared" si="57"/>
        <v>102687.2</v>
      </c>
      <c r="I359" s="40">
        <f>-7408-19126</f>
        <v>-26534</v>
      </c>
      <c r="J359" s="40">
        <v>-15569.3</v>
      </c>
      <c r="K359" s="42">
        <f t="shared" si="58"/>
        <v>60583.899999999994</v>
      </c>
      <c r="L359" s="40">
        <f>-9511-6400-10120.4+1500+6531.4</f>
        <v>-18000</v>
      </c>
      <c r="M359" s="40"/>
      <c r="N359" s="42">
        <f t="shared" si="55"/>
        <v>42583.899999999994</v>
      </c>
    </row>
    <row r="360" spans="1:14" ht="12.75" customHeight="1">
      <c r="A360" s="8" t="s">
        <v>42</v>
      </c>
      <c r="B360" s="40">
        <f>SUM(B361:B362)</f>
        <v>10000</v>
      </c>
      <c r="C360" s="40">
        <f>SUM(C361:C363)</f>
        <v>230.3</v>
      </c>
      <c r="D360" s="40"/>
      <c r="E360" s="42">
        <f>B360+C360+D360</f>
        <v>10230.3</v>
      </c>
      <c r="F360" s="40">
        <f>SUM(F361:F363)</f>
        <v>0</v>
      </c>
      <c r="G360" s="40"/>
      <c r="H360" s="42">
        <f t="shared" si="57"/>
        <v>10230.3</v>
      </c>
      <c r="I360" s="40">
        <f>SUM(I361:I363)</f>
        <v>51</v>
      </c>
      <c r="J360" s="40"/>
      <c r="K360" s="42">
        <f t="shared" si="58"/>
        <v>10281.3</v>
      </c>
      <c r="L360" s="40">
        <f>SUM(L361:L363)</f>
        <v>0</v>
      </c>
      <c r="M360" s="40"/>
      <c r="N360" s="42">
        <f t="shared" si="55"/>
        <v>10281.3</v>
      </c>
    </row>
    <row r="361" spans="1:14" ht="12.75" customHeight="1">
      <c r="A361" s="8" t="s">
        <v>155</v>
      </c>
      <c r="B361" s="40">
        <v>10000</v>
      </c>
      <c r="C361" s="40"/>
      <c r="D361" s="40"/>
      <c r="E361" s="42">
        <f>B361+C361</f>
        <v>10000</v>
      </c>
      <c r="F361" s="40">
        <v>-15</v>
      </c>
      <c r="G361" s="40"/>
      <c r="H361" s="42">
        <f t="shared" si="57"/>
        <v>9985</v>
      </c>
      <c r="I361" s="40"/>
      <c r="J361" s="40"/>
      <c r="K361" s="42">
        <f t="shared" si="58"/>
        <v>9985</v>
      </c>
      <c r="L361" s="40">
        <f>165+76.3</f>
        <v>241.3</v>
      </c>
      <c r="M361" s="40"/>
      <c r="N361" s="42">
        <f t="shared" si="55"/>
        <v>10226.3</v>
      </c>
    </row>
    <row r="362" spans="1:14" ht="12.75" customHeight="1">
      <c r="A362" s="8" t="s">
        <v>158</v>
      </c>
      <c r="B362" s="40"/>
      <c r="C362" s="40"/>
      <c r="D362" s="40"/>
      <c r="E362" s="42">
        <f>B362+C362</f>
        <v>0</v>
      </c>
      <c r="F362" s="40"/>
      <c r="G362" s="40"/>
      <c r="H362" s="42">
        <f t="shared" si="57"/>
        <v>0</v>
      </c>
      <c r="I362" s="40"/>
      <c r="J362" s="40"/>
      <c r="K362" s="42">
        <f t="shared" si="58"/>
        <v>0</v>
      </c>
      <c r="L362" s="40">
        <v>55</v>
      </c>
      <c r="M362" s="40"/>
      <c r="N362" s="42">
        <f t="shared" si="55"/>
        <v>55</v>
      </c>
    </row>
    <row r="363" spans="1:14" ht="12.75" customHeight="1">
      <c r="A363" s="8" t="s">
        <v>93</v>
      </c>
      <c r="B363" s="40"/>
      <c r="C363" s="40">
        <v>230.3</v>
      </c>
      <c r="D363" s="40"/>
      <c r="E363" s="42">
        <f>B363+C363+D363</f>
        <v>230.3</v>
      </c>
      <c r="F363" s="40">
        <v>15</v>
      </c>
      <c r="G363" s="40"/>
      <c r="H363" s="42">
        <f t="shared" si="57"/>
        <v>245.3</v>
      </c>
      <c r="I363" s="40">
        <v>51</v>
      </c>
      <c r="J363" s="40"/>
      <c r="K363" s="42">
        <f t="shared" si="58"/>
        <v>296.3</v>
      </c>
      <c r="L363" s="40">
        <f>-165-55-76.3</f>
        <v>-296.3</v>
      </c>
      <c r="M363" s="40"/>
      <c r="N363" s="42">
        <f t="shared" si="55"/>
        <v>0</v>
      </c>
    </row>
    <row r="364" spans="1:14" ht="12.75" customHeight="1">
      <c r="A364" s="8" t="s">
        <v>40</v>
      </c>
      <c r="B364" s="40">
        <f>SUM(B365:B368)</f>
        <v>98000</v>
      </c>
      <c r="C364" s="40">
        <f>SUM(C365:C368)</f>
        <v>37873.8</v>
      </c>
      <c r="D364" s="40">
        <f>SUM(D365:D368)</f>
        <v>0</v>
      </c>
      <c r="E364" s="42">
        <f>B364+C364+D364</f>
        <v>135873.8</v>
      </c>
      <c r="F364" s="40">
        <f>SUM(F365:F368)</f>
        <v>0</v>
      </c>
      <c r="G364" s="40">
        <f>SUM(G365:G368)</f>
        <v>18487</v>
      </c>
      <c r="H364" s="42">
        <f t="shared" si="57"/>
        <v>154360.8</v>
      </c>
      <c r="I364" s="40">
        <f>SUM(I365:I368)</f>
        <v>0</v>
      </c>
      <c r="J364" s="40"/>
      <c r="K364" s="42">
        <f t="shared" si="58"/>
        <v>154360.8</v>
      </c>
      <c r="L364" s="40">
        <f>SUM(L365:L368)</f>
        <v>5357.900000000001</v>
      </c>
      <c r="M364" s="40"/>
      <c r="N364" s="42">
        <f t="shared" si="55"/>
        <v>159718.69999999998</v>
      </c>
    </row>
    <row r="365" spans="1:14" ht="12.75" customHeight="1">
      <c r="A365" s="8" t="s">
        <v>155</v>
      </c>
      <c r="B365" s="40">
        <v>84510</v>
      </c>
      <c r="C365" s="40">
        <f>24666.4-5000</f>
        <v>19666.4</v>
      </c>
      <c r="D365" s="40"/>
      <c r="E365" s="42">
        <f>B365+C365+D365</f>
        <v>104176.4</v>
      </c>
      <c r="F365" s="40"/>
      <c r="G365" s="40">
        <v>17113.4</v>
      </c>
      <c r="H365" s="42">
        <f t="shared" si="57"/>
        <v>121289.79999999999</v>
      </c>
      <c r="I365" s="40">
        <f>2072.6+2470</f>
        <v>4542.6</v>
      </c>
      <c r="J365" s="40"/>
      <c r="K365" s="42">
        <f t="shared" si="58"/>
        <v>125832.4</v>
      </c>
      <c r="L365" s="40">
        <f>570.4+1616.9+3357.9</f>
        <v>5545.200000000001</v>
      </c>
      <c r="M365" s="40"/>
      <c r="N365" s="42">
        <f t="shared" si="55"/>
        <v>131377.6</v>
      </c>
    </row>
    <row r="366" spans="1:14" ht="12.75" customHeight="1">
      <c r="A366" s="8" t="s">
        <v>205</v>
      </c>
      <c r="B366" s="40">
        <v>9350</v>
      </c>
      <c r="C366" s="40">
        <v>13363.1</v>
      </c>
      <c r="D366" s="40"/>
      <c r="E366" s="42">
        <f>B366+C366+D366</f>
        <v>22713.1</v>
      </c>
      <c r="F366" s="40"/>
      <c r="G366" s="40">
        <v>1373</v>
      </c>
      <c r="H366" s="42">
        <f t="shared" si="57"/>
        <v>24086.1</v>
      </c>
      <c r="I366" s="40">
        <f>102-1200</f>
        <v>-1098</v>
      </c>
      <c r="J366" s="40"/>
      <c r="K366" s="42">
        <f t="shared" si="58"/>
        <v>22988.1</v>
      </c>
      <c r="L366" s="40">
        <f>-820.4-826.6+2000</f>
        <v>353</v>
      </c>
      <c r="M366" s="40"/>
      <c r="N366" s="42">
        <f t="shared" si="55"/>
        <v>23341.1</v>
      </c>
    </row>
    <row r="367" spans="1:14" ht="12.75" customHeight="1">
      <c r="A367" s="8" t="s">
        <v>76</v>
      </c>
      <c r="B367" s="40"/>
      <c r="C367" s="40">
        <v>5000</v>
      </c>
      <c r="D367" s="40"/>
      <c r="E367" s="42">
        <f>B367+C367</f>
        <v>5000</v>
      </c>
      <c r="F367" s="40"/>
      <c r="G367" s="40"/>
      <c r="H367" s="42">
        <f t="shared" si="57"/>
        <v>5000</v>
      </c>
      <c r="I367" s="40"/>
      <c r="J367" s="40"/>
      <c r="K367" s="42">
        <f t="shared" si="58"/>
        <v>5000</v>
      </c>
      <c r="L367" s="40"/>
      <c r="M367" s="40"/>
      <c r="N367" s="42">
        <f t="shared" si="55"/>
        <v>5000</v>
      </c>
    </row>
    <row r="368" spans="1:14" ht="12.75" customHeight="1">
      <c r="A368" s="8" t="s">
        <v>93</v>
      </c>
      <c r="B368" s="40">
        <v>4140</v>
      </c>
      <c r="C368" s="40">
        <f>-364.2+208.5</f>
        <v>-155.7</v>
      </c>
      <c r="D368" s="40"/>
      <c r="E368" s="42">
        <f>B368+C368+D368</f>
        <v>3984.3</v>
      </c>
      <c r="F368" s="40"/>
      <c r="G368" s="40">
        <v>0.6</v>
      </c>
      <c r="H368" s="42">
        <f t="shared" si="57"/>
        <v>3984.9</v>
      </c>
      <c r="I368" s="40">
        <f>-2174.6-1270</f>
        <v>-3444.6</v>
      </c>
      <c r="J368" s="40"/>
      <c r="K368" s="42">
        <f t="shared" si="58"/>
        <v>540.3000000000002</v>
      </c>
      <c r="L368" s="40">
        <f>250-790.3</f>
        <v>-540.3</v>
      </c>
      <c r="M368" s="40"/>
      <c r="N368" s="42">
        <f t="shared" si="55"/>
        <v>0</v>
      </c>
    </row>
    <row r="369" spans="1:14" ht="12.75" customHeight="1">
      <c r="A369" s="67" t="s">
        <v>102</v>
      </c>
      <c r="B369" s="48"/>
      <c r="C369" s="48">
        <v>486.5</v>
      </c>
      <c r="D369" s="48"/>
      <c r="E369" s="46">
        <f>SUM(B369:D369)</f>
        <v>486.5</v>
      </c>
      <c r="F369" s="48"/>
      <c r="G369" s="48"/>
      <c r="H369" s="46">
        <f t="shared" si="57"/>
        <v>486.5</v>
      </c>
      <c r="I369" s="48"/>
      <c r="J369" s="48"/>
      <c r="K369" s="46">
        <f t="shared" si="58"/>
        <v>486.5</v>
      </c>
      <c r="L369" s="48"/>
      <c r="M369" s="48"/>
      <c r="N369" s="46">
        <f t="shared" si="55"/>
        <v>486.5</v>
      </c>
    </row>
    <row r="370" spans="1:14" ht="18" customHeight="1" thickBot="1">
      <c r="A370" s="38" t="s">
        <v>163</v>
      </c>
      <c r="B370" s="41">
        <v>4152</v>
      </c>
      <c r="C370" s="41">
        <v>400</v>
      </c>
      <c r="D370" s="41"/>
      <c r="E370" s="41">
        <f>SUM(B370:D370)</f>
        <v>4552</v>
      </c>
      <c r="F370" s="41"/>
      <c r="G370" s="41"/>
      <c r="H370" s="41">
        <f t="shared" si="57"/>
        <v>4552</v>
      </c>
      <c r="I370" s="41"/>
      <c r="J370" s="41"/>
      <c r="K370" s="41">
        <f t="shared" si="58"/>
        <v>4552</v>
      </c>
      <c r="L370" s="41">
        <v>35.2</v>
      </c>
      <c r="M370" s="41"/>
      <c r="N370" s="41">
        <f t="shared" si="55"/>
        <v>4587.2</v>
      </c>
    </row>
    <row r="371" spans="1:14" ht="21.75" customHeight="1" thickBot="1">
      <c r="A371" s="34" t="s">
        <v>23</v>
      </c>
      <c r="B371" s="50">
        <f>B71+B85+B102+B131+B152+B216+B242+B262+B275+B279+B312+B319+B327+B171+B157+B295+B121+B370</f>
        <v>3472357.6</v>
      </c>
      <c r="C371" s="50">
        <f>C71+C85+C102+C131+C152+C216+C242+C262+C275+C279+C312+C319+C327+C171+C157+C295+C121+C370</f>
        <v>1270956.7</v>
      </c>
      <c r="D371" s="50">
        <f>D71+D85+D102+D131+D152+D216+D242+D262+D275+D279+D312+D319+D327+D171+D157+D295+D121</f>
        <v>-49637.200000000026</v>
      </c>
      <c r="E371" s="51">
        <f>E71+E85+E102+E131+E152+E216+E242+E262+E275+E279+E312+E319+E327+E171+E157+E295+E121+E370</f>
        <v>4693677.1</v>
      </c>
      <c r="F371" s="50">
        <f>F71+F85+F102+F131+F152+F216+F242+F262+F275+F279+F312+F319+F327+F171+F157+F295+F121+F370</f>
        <v>1152294.8000000003</v>
      </c>
      <c r="G371" s="50">
        <f>G71+G85+G102+G131+G152+G216+G242+G262+G275+G279+G312+G319+G327+G171+G157+G295+G121</f>
        <v>471967.4</v>
      </c>
      <c r="H371" s="51">
        <f>H71+H85+H102+H131+H152+H216+H242+H262+H275+H279+H312+H319+H327+H171+H157+H295+H121+H370</f>
        <v>6317939.3</v>
      </c>
      <c r="I371" s="50">
        <f>I71+I85+I102+I131+I152+I216+I242+I262+I275+I279+I312+I319+I327+I171+I157+I295+I121+I370</f>
        <v>1133431.7</v>
      </c>
      <c r="J371" s="50">
        <f>J71+J85+J102+J131+J152+J216+J242+J262+J275+J279+J312+J319+J327+J171+J157+J295+J121</f>
        <v>31864.800000000007</v>
      </c>
      <c r="K371" s="51">
        <f>K71+K85+K102+K131+K152+K216+K242+K262+K275+K279+K312+K319+K327+K171+K157+K295+K121+K370</f>
        <v>7483235.800000001</v>
      </c>
      <c r="L371" s="50">
        <f>L71+L85+L102+L131+L152+L216+L242+L262+L275+L279+L312+L319+L327+L171+L157+L295+L121+L370</f>
        <v>1075249.2</v>
      </c>
      <c r="M371" s="50">
        <f>M71+M85+M102+M131+M152+M216+M242+M262+M275+M279+M312+M319+M327+M171+M157+M295+M121</f>
        <v>0</v>
      </c>
      <c r="N371" s="51">
        <f>N71+N85+N102+N131+N152+N216+N242+N262+N275+N279+N312+N319+N327+N171+N157+N295+N121+N370</f>
        <v>8558485</v>
      </c>
    </row>
    <row r="372" spans="1:14" ht="15" customHeight="1" thickBot="1">
      <c r="A372" s="33" t="s">
        <v>160</v>
      </c>
      <c r="B372" s="52">
        <v>-4152</v>
      </c>
      <c r="C372" s="52"/>
      <c r="D372" s="52"/>
      <c r="E372" s="53">
        <f>SUM(B372:D372)</f>
        <v>-4152</v>
      </c>
      <c r="F372" s="52"/>
      <c r="G372" s="52"/>
      <c r="H372" s="53">
        <f>SUM(E372:G372)</f>
        <v>-4152</v>
      </c>
      <c r="I372" s="52"/>
      <c r="J372" s="52"/>
      <c r="K372" s="53">
        <f>SUM(H372:J372)</f>
        <v>-4152</v>
      </c>
      <c r="L372" s="52">
        <v>-35.2</v>
      </c>
      <c r="M372" s="52"/>
      <c r="N372" s="53">
        <f>SUM(K372:M372)</f>
        <v>-4187.2</v>
      </c>
    </row>
    <row r="373" spans="1:14" ht="21.75" customHeight="1" thickBot="1">
      <c r="A373" s="25" t="s">
        <v>161</v>
      </c>
      <c r="B373" s="54">
        <f aca="true" t="shared" si="59" ref="B373:N373">B371+B372</f>
        <v>3468205.6</v>
      </c>
      <c r="C373" s="54">
        <f t="shared" si="59"/>
        <v>1270956.7</v>
      </c>
      <c r="D373" s="54">
        <f t="shared" si="59"/>
        <v>-49637.200000000026</v>
      </c>
      <c r="E373" s="55">
        <f t="shared" si="59"/>
        <v>4689525.1</v>
      </c>
      <c r="F373" s="54">
        <f t="shared" si="59"/>
        <v>1152294.8000000003</v>
      </c>
      <c r="G373" s="54">
        <f t="shared" si="59"/>
        <v>471967.4</v>
      </c>
      <c r="H373" s="55">
        <f t="shared" si="59"/>
        <v>6313787.3</v>
      </c>
      <c r="I373" s="54">
        <f t="shared" si="59"/>
        <v>1133431.7</v>
      </c>
      <c r="J373" s="54">
        <f t="shared" si="59"/>
        <v>31864.800000000007</v>
      </c>
      <c r="K373" s="55">
        <f t="shared" si="59"/>
        <v>7479083.800000001</v>
      </c>
      <c r="L373" s="54">
        <f t="shared" si="59"/>
        <v>1075214</v>
      </c>
      <c r="M373" s="54">
        <f t="shared" si="59"/>
        <v>0</v>
      </c>
      <c r="N373" s="55">
        <f t="shared" si="59"/>
        <v>8554297.8</v>
      </c>
    </row>
    <row r="374" spans="1:14" ht="12" customHeight="1">
      <c r="A374" s="29" t="s">
        <v>1</v>
      </c>
      <c r="B374" s="56"/>
      <c r="C374" s="56"/>
      <c r="D374" s="56"/>
      <c r="E374" s="57"/>
      <c r="F374" s="56"/>
      <c r="G374" s="56"/>
      <c r="H374" s="57"/>
      <c r="I374" s="56"/>
      <c r="J374" s="56"/>
      <c r="K374" s="57"/>
      <c r="L374" s="72"/>
      <c r="M374" s="56"/>
      <c r="N374" s="57"/>
    </row>
    <row r="375" spans="1:14" ht="15" customHeight="1">
      <c r="A375" s="28" t="s">
        <v>34</v>
      </c>
      <c r="B375" s="58">
        <f>B72+B86+B103+B132+B153+B172+B217+B243+B263+B275+B280+B313+B320+B329+B158+B296+B122+B370+B372</f>
        <v>2420273</v>
      </c>
      <c r="C375" s="58">
        <f>C72+C86+C103+C132+C153+C172+C217+C243+C263+C275+C280+C313+C320+C329+C158+C296+C122+C370+C372</f>
        <v>1169166.5</v>
      </c>
      <c r="D375" s="58">
        <f>D72+D86+D103+D132+D153+D172+D217+D243+D263+D275+D280+D313+D320+D329+D158+D296+D122</f>
        <v>39349.4</v>
      </c>
      <c r="E375" s="59">
        <f>E72+E86+E103+E132+E153+E172+E217+E243+E263+E275+E280+E313+E320+E329+E158+E296+E122+E370+E372</f>
        <v>3628788.9</v>
      </c>
      <c r="F375" s="58">
        <f>F72+F86+F103+F132+F153+F172+F217+F243+F263+F275+F280+F313+F320+F329+F158+F296+F122+F370+F372</f>
        <v>1080905</v>
      </c>
      <c r="G375" s="58">
        <f>G72+G86+G103+G132+G153+G172+G217+G243+G263+G275+G280+G313+G320+G329+G158+G296+G122</f>
        <v>107737.2</v>
      </c>
      <c r="H375" s="59">
        <f>H72+H86+H103+H132+H153+H172+H217+H243+H263+H275+H280+H313+H320+H329+H158+H296+H122+H370+H372</f>
        <v>4817431.100000001</v>
      </c>
      <c r="I375" s="58">
        <f>I72+I86+I103+I132+I153+I172+I217+I243+I263+I275+I280+I313+I320+I329+I158+I296+I122+I370+I372</f>
        <v>1062103</v>
      </c>
      <c r="J375" s="58">
        <f>J72+J86+J103+J132+J153+J172+J217+J243+J263+J275+J280+J313+J320+J329+J158+J296+J122</f>
        <v>-61258.1</v>
      </c>
      <c r="K375" s="59">
        <f>K72+K86+K103+K132+K153+K172+K217+K243+K263+K275+K280+K313+K320+K329+K158+K296+K122+K370+K372</f>
        <v>5818276.000000001</v>
      </c>
      <c r="L375" s="73">
        <f>L72+L86+L103+L132+L153+L172+L217+L243+L263+L275+L280+L313+L320+L329+L158+L296+L122+L370+L372</f>
        <v>1061915.5</v>
      </c>
      <c r="M375" s="58">
        <f>M72+M86+M103+M132+M153+M172+M217+M243+M263+M275+M280+M313+M320+M329+M158+M296+M122</f>
        <v>0</v>
      </c>
      <c r="N375" s="59">
        <f>N72+N86+N103+N132+N153+N172+N217+N243+N263+N275+N280+N313+N320+N329+N158+N296+N122+N370+N372</f>
        <v>6880191.5</v>
      </c>
    </row>
    <row r="376" spans="1:14" ht="15" customHeight="1" thickBot="1">
      <c r="A376" s="28" t="s">
        <v>35</v>
      </c>
      <c r="B376" s="58">
        <f>B113+B143+B201+B236+B254+B316+B330+B165+B290+B81+B303+B272+B128</f>
        <v>1047932.6</v>
      </c>
      <c r="C376" s="58">
        <f>C113+C143+C201+C236+C254+C316+C330+C165+C290+C81+C303+C272+C128</f>
        <v>101790.20000000001</v>
      </c>
      <c r="D376" s="58">
        <f>D113+D143+D201+D236+D254+D316+D330+D165+D290+D81+D303+D272+D128</f>
        <v>-88986.6</v>
      </c>
      <c r="E376" s="59">
        <f>E113+E143+E201+E236+E254+E316+E330+E165+E290+E81+E303+E272+E128</f>
        <v>1060736.2</v>
      </c>
      <c r="F376" s="58">
        <f>F113+F143+F201+F236+F254+F316+F330+F165+F290+F81+F303+F272+F128</f>
        <v>71389.79999999999</v>
      </c>
      <c r="G376" s="58">
        <f>G113+G143+G201+G236+G254+G316+G330+G165+G290+G81+G303+G272+G128</f>
        <v>364230.2</v>
      </c>
      <c r="H376" s="59">
        <f>H113+H143+H201+H236+H254+H316+H330+H165+H290+H81+H303+H272+H128</f>
        <v>1496356.2000000002</v>
      </c>
      <c r="I376" s="58">
        <f>I113+I143+I201+I236+I254+I316+I330+I165+I290+I81+I303+I272+I128</f>
        <v>71328.7</v>
      </c>
      <c r="J376" s="58">
        <f>J113+J143+J201+J236+J254+J316+J330+J165+J290+J81+J303+J272+J128</f>
        <v>93122.90000000001</v>
      </c>
      <c r="K376" s="59">
        <f>K113+K143+K201+K236+K254+K316+K330+K165+K290+K81+K303+K272+K128</f>
        <v>1660807.8000000003</v>
      </c>
      <c r="L376" s="74">
        <f>L113+L143+L201+L236+L254+L316+L330+L165+L290+L81+L303+L272+L128+L99</f>
        <v>13298.499999999996</v>
      </c>
      <c r="M376" s="75">
        <f>M113+M143+M201+M236+M254+M316+M330+M165+M290+M81+M303+M272+M128</f>
        <v>0</v>
      </c>
      <c r="N376" s="76">
        <f>N113+N143+N201+N236+N254+N316+N330+N165+N290+N81+N303+N272+N128+N99</f>
        <v>1674106.3</v>
      </c>
    </row>
    <row r="377" spans="1:14" ht="19.5" customHeight="1">
      <c r="A377" s="29" t="s">
        <v>51</v>
      </c>
      <c r="B377" s="60">
        <f aca="true" t="shared" si="60" ref="B377:N377">SUM(B379:B382)</f>
        <v>556305.6</v>
      </c>
      <c r="C377" s="60">
        <f t="shared" si="60"/>
        <v>156441.6</v>
      </c>
      <c r="D377" s="60">
        <f t="shared" si="60"/>
        <v>-52462.59999999999</v>
      </c>
      <c r="E377" s="61">
        <f t="shared" si="60"/>
        <v>660284.5999999999</v>
      </c>
      <c r="F377" s="60">
        <f t="shared" si="60"/>
        <v>-58223.3</v>
      </c>
      <c r="G377" s="60">
        <f t="shared" si="60"/>
        <v>455097.1</v>
      </c>
      <c r="H377" s="61">
        <f t="shared" si="60"/>
        <v>1057158.4</v>
      </c>
      <c r="I377" s="60">
        <f t="shared" si="60"/>
        <v>0</v>
      </c>
      <c r="J377" s="60">
        <f t="shared" si="60"/>
        <v>0</v>
      </c>
      <c r="K377" s="61">
        <f t="shared" si="60"/>
        <v>1057158.4</v>
      </c>
      <c r="L377" s="60">
        <f t="shared" si="60"/>
        <v>-46346.3</v>
      </c>
      <c r="M377" s="60">
        <f t="shared" si="60"/>
        <v>0</v>
      </c>
      <c r="N377" s="61">
        <f t="shared" si="60"/>
        <v>1010812.1</v>
      </c>
    </row>
    <row r="378" spans="1:14" ht="9.75" customHeight="1">
      <c r="A378" s="26" t="s">
        <v>1</v>
      </c>
      <c r="B378" s="62"/>
      <c r="C378" s="62"/>
      <c r="D378" s="62"/>
      <c r="E378" s="63"/>
      <c r="F378" s="62"/>
      <c r="G378" s="62"/>
      <c r="H378" s="63"/>
      <c r="I378" s="62"/>
      <c r="J378" s="62"/>
      <c r="K378" s="63"/>
      <c r="L378" s="62"/>
      <c r="M378" s="62"/>
      <c r="N378" s="63"/>
    </row>
    <row r="379" spans="1:14" ht="12.75" customHeight="1">
      <c r="A379" s="26" t="s">
        <v>74</v>
      </c>
      <c r="B379" s="64">
        <v>556305.6</v>
      </c>
      <c r="C379" s="64">
        <v>26465.2</v>
      </c>
      <c r="D379" s="64">
        <v>-111482.4</v>
      </c>
      <c r="E379" s="63">
        <f>SUM(B379:D379)</f>
        <v>471288.3999999999</v>
      </c>
      <c r="F379" s="64"/>
      <c r="G379" s="64">
        <v>-19135</v>
      </c>
      <c r="H379" s="63">
        <f>SUM(E379:G379)</f>
        <v>452153.3999999999</v>
      </c>
      <c r="I379" s="64"/>
      <c r="J379" s="64"/>
      <c r="K379" s="63">
        <f>SUM(H379:J379)</f>
        <v>452153.3999999999</v>
      </c>
      <c r="L379" s="64">
        <v>-46346.3</v>
      </c>
      <c r="M379" s="64"/>
      <c r="N379" s="63">
        <f>SUM(K379:M379)</f>
        <v>405807.0999999999</v>
      </c>
    </row>
    <row r="380" spans="1:14" ht="12.75" customHeight="1">
      <c r="A380" s="26" t="s">
        <v>194</v>
      </c>
      <c r="B380" s="64"/>
      <c r="C380" s="64"/>
      <c r="D380" s="64"/>
      <c r="E380" s="63"/>
      <c r="F380" s="64">
        <v>-65223.3</v>
      </c>
      <c r="G380" s="64"/>
      <c r="H380" s="63">
        <f>SUM(E380:G380)</f>
        <v>-65223.3</v>
      </c>
      <c r="I380" s="64"/>
      <c r="J380" s="64"/>
      <c r="K380" s="63">
        <f>SUM(H380:J380)</f>
        <v>-65223.3</v>
      </c>
      <c r="L380" s="64"/>
      <c r="M380" s="64"/>
      <c r="N380" s="63">
        <f>SUM(K380:M380)</f>
        <v>-65223.3</v>
      </c>
    </row>
    <row r="381" spans="1:14" ht="12.75" customHeight="1">
      <c r="A381" s="26" t="s">
        <v>159</v>
      </c>
      <c r="B381" s="62"/>
      <c r="C381" s="64">
        <v>129576.4</v>
      </c>
      <c r="D381" s="64">
        <v>59019.8</v>
      </c>
      <c r="E381" s="63">
        <f>SUM(B381:D381)</f>
        <v>188596.2</v>
      </c>
      <c r="F381" s="64">
        <v>7000</v>
      </c>
      <c r="G381" s="64">
        <v>474232.1</v>
      </c>
      <c r="H381" s="63">
        <f>SUM(E381:G381)</f>
        <v>669828.3</v>
      </c>
      <c r="I381" s="64"/>
      <c r="J381" s="64"/>
      <c r="K381" s="63">
        <f>SUM(H381:J381)</f>
        <v>669828.3</v>
      </c>
      <c r="L381" s="64"/>
      <c r="M381" s="64"/>
      <c r="N381" s="63">
        <f>SUM(K381:M381)</f>
        <v>669828.3</v>
      </c>
    </row>
    <row r="382" spans="1:14" ht="12.75" customHeight="1" thickBot="1">
      <c r="A382" s="27" t="s">
        <v>162</v>
      </c>
      <c r="B382" s="65"/>
      <c r="C382" s="65">
        <v>400</v>
      </c>
      <c r="D382" s="65"/>
      <c r="E382" s="66">
        <f>SUM(B382:D382)</f>
        <v>400</v>
      </c>
      <c r="F382" s="65"/>
      <c r="G382" s="65"/>
      <c r="H382" s="66">
        <f>SUM(E382:G382)</f>
        <v>400</v>
      </c>
      <c r="I382" s="65"/>
      <c r="J382" s="65"/>
      <c r="K382" s="66">
        <f>SUM(H382:J382)</f>
        <v>400</v>
      </c>
      <c r="L382" s="65"/>
      <c r="M382" s="65"/>
      <c r="N382" s="66">
        <f>SUM(K382:M382)</f>
        <v>400</v>
      </c>
    </row>
    <row r="383" spans="1:5" ht="15" customHeight="1">
      <c r="A383" s="15"/>
      <c r="B383" s="22"/>
      <c r="C383" s="21"/>
      <c r="D383" s="21"/>
      <c r="E383" s="22"/>
    </row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spans="1:2" ht="12.75" customHeight="1">
      <c r="A393" s="14"/>
      <c r="B393" s="24"/>
    </row>
    <row r="394" ht="12.75" customHeight="1"/>
    <row r="395" spans="1:2" ht="12.75" customHeight="1">
      <c r="A395" s="14"/>
      <c r="B395" s="24"/>
    </row>
    <row r="396" ht="12.75" customHeight="1"/>
    <row r="397" ht="12.75" customHeight="1">
      <c r="A397" s="23"/>
    </row>
    <row r="398" ht="12.75" customHeight="1">
      <c r="A398" s="23"/>
    </row>
    <row r="399" ht="12.75" customHeight="1">
      <c r="A399" s="23"/>
    </row>
    <row r="400" ht="12.75" customHeight="1">
      <c r="A400" s="23"/>
    </row>
    <row r="401" ht="15" customHeight="1">
      <c r="A401" s="23"/>
    </row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</sheetData>
  <mergeCells count="5">
    <mergeCell ref="A7:A8"/>
    <mergeCell ref="A2:N2"/>
    <mergeCell ref="A3:N3"/>
    <mergeCell ref="A4:N4"/>
    <mergeCell ref="A5:N5"/>
  </mergeCells>
  <printOptions horizontalCentered="1"/>
  <pageMargins left="0.1968503937007874" right="0.1968503937007874" top="0.7874015748031497" bottom="0.5905511811023623" header="0.5118110236220472" footer="0.3937007874015748"/>
  <pageSetup horizontalDpi="600" verticalDpi="600" orientation="portrait" paperSize="9" scale="86" r:id="rId1"/>
  <headerFooter alignWithMargins="0">
    <oddHeader>&amp;RPříloha č. 1</oddHeader>
    <oddFooter>&amp;CStránka &amp;P</oddFooter>
  </headerFooter>
  <rowBreaks count="5" manualBreakCount="5">
    <brk id="69" max="255" man="1"/>
    <brk id="130" max="255" man="1"/>
    <brk id="195" max="10" man="1"/>
    <brk id="261" max="255" man="1"/>
    <brk id="3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2007-11-12T11:46:29Z</cp:lastPrinted>
  <dcterms:created xsi:type="dcterms:W3CDTF">1997-01-24T11:07:25Z</dcterms:created>
  <dcterms:modified xsi:type="dcterms:W3CDTF">2007-11-12T11:47:11Z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-1733195751</vt:i4>
  </property>
  <property fmtid="{D5CDD505-2E9C-101B-9397-08002B2CF9AE}" pid="3" name="_EmailSubject">
    <vt:lpwstr>4.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