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1"/>
  </bookViews>
  <sheets>
    <sheet name="4. ZR" sheetId="1" r:id="rId1"/>
    <sheet name="4. ZR vč.zm." sheetId="2" r:id="rId2"/>
  </sheets>
  <definedNames>
    <definedName name="_xlnm.Print_Titles" localSheetId="0">'4. ZR'!$8:$9</definedName>
    <definedName name="_xlnm.Print_Titles" localSheetId="1">'4. ZR vč.zm.'!$8:$9</definedName>
    <definedName name="_xlnm.Print_Area" localSheetId="0">'4. ZR'!$A$1:$O$552</definedName>
    <definedName name="_xlnm.Print_Area" localSheetId="1">'4. ZR vč.zm.'!$A$1:$O$554</definedName>
    <definedName name="Z_39FD50E0_9911_4D32_8842_5A58F13D310F_.wvu.Cols" localSheetId="0" hidden="1">'4. ZR'!$D:$K,'4. ZR'!$N:$N,'4. ZR'!#REF!</definedName>
    <definedName name="Z_39FD50E0_9911_4D32_8842_5A58F13D310F_.wvu.Cols" localSheetId="1" hidden="1">'4. ZR vč.zm.'!$D:$K,'4. ZR vč.zm.'!$N:$N,'4. ZR vč.zm.'!#REF!</definedName>
    <definedName name="Z_39FD50E0_9911_4D32_8842_5A58F13D310F_.wvu.PrintTitles" localSheetId="0" hidden="1">'4. ZR'!$8:$9</definedName>
    <definedName name="Z_39FD50E0_9911_4D32_8842_5A58F13D310F_.wvu.PrintTitles" localSheetId="1" hidden="1">'4. ZR vč.zm.'!$8:$9</definedName>
    <definedName name="Z_39FD50E0_9911_4D32_8842_5A58F13D310F_.wvu.Rows" localSheetId="0" hidden="1">'4. ZR'!$335:$335</definedName>
    <definedName name="Z_39FD50E0_9911_4D32_8842_5A58F13D310F_.wvu.Rows" localSheetId="1" hidden="1">'4. ZR vč.zm.'!$336:$336</definedName>
  </definedNames>
  <calcPr fullCalcOnLoad="1"/>
</workbook>
</file>

<file path=xl/sharedStrings.xml><?xml version="1.0" encoding="utf-8"?>
<sst xmlns="http://schemas.openxmlformats.org/spreadsheetml/2006/main" count="1188" uniqueCount="389">
  <si>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</si>
  <si>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</si>
  <si>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</si>
  <si>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</si>
  <si>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</si>
  <si>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</si>
  <si>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</si>
  <si>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</si>
  <si>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</si>
  <si>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</si>
  <si>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</si>
  <si>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</si>
  <si>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</si>
  <si>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</si>
  <si>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</si>
  <si>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</si>
  <si>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</si>
  <si>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</si>
  <si>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</si>
  <si>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</si>
  <si>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</si>
  <si>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</si>
  <si>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</si>
  <si>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</si>
  <si>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</si>
  <si>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</si>
  <si>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</si>
  <si>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</si>
  <si>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</si>
  <si>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</si>
  <si>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</si>
  <si>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</si>
  <si>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</si>
  <si>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</si>
  <si>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</si>
  <si>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</si>
  <si>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</si>
  <si>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</si>
  <si>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</si>
  <si>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</si>
  <si>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</si>
  <si>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</si>
  <si>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</si>
  <si>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</si>
  <si>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</si>
  <si>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</si>
  <si>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</si>
  <si>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</si>
  <si>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</si>
  <si>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</si>
  <si>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</si>
  <si>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</si>
  <si>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</si>
  <si>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</si>
  <si>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</si>
  <si>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</si>
  <si>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</si>
  <si>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</si>
  <si>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</si>
  <si>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</si>
  <si>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</si>
  <si>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</si>
  <si>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</si>
  <si>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</si>
  <si>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</si>
  <si>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</si>
  <si>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</si>
  <si>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</si>
  <si>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</si>
  <si>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</si>
  <si>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</si>
  <si>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</si>
  <si>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</si>
  <si>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</si>
  <si>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</si>
  <si>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</si>
  <si>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</si>
  <si>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</si>
  <si>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</si>
  <si>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</si>
  <si>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</si>
  <si>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</si>
  <si>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</si>
  <si>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</si>
  <si>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</si>
  <si>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</si>
  <si>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</si>
  <si>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</si>
  <si>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</si>
  <si>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</si>
  <si>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</si>
  <si>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</si>
  <si>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</si>
  <si>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</si>
  <si>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</si>
  <si>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</si>
  <si>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</si>
  <si>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</si>
  <si>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</si>
  <si>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</si>
  <si>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</si>
  <si>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</si>
  <si>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</si>
  <si>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</si>
  <si>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</si>
  <si>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</si>
  <si>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</si>
  <si>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 xml:space="preserve">kap. 11 - cestovní ruch </t>
  </si>
  <si>
    <t>kap. 12 - správa majetku kraje</t>
  </si>
  <si>
    <t>soustředěné pojištění majetku kraje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</si>
  <si>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</si>
  <si>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</si>
  <si>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</si>
  <si>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</si>
  <si>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</si>
  <si>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</si>
  <si>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</si>
  <si>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</si>
  <si>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</si>
  <si>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</si>
  <si>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</si>
  <si>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</si>
  <si>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</si>
  <si>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</si>
  <si>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</si>
  <si>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</si>
  <si>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</si>
  <si>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</si>
  <si>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</si>
  <si>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</si>
  <si>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</si>
  <si>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</si>
  <si>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</si>
  <si>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</si>
  <si>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</si>
  <si>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</si>
  <si>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</si>
  <si>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</si>
  <si>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</si>
  <si>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</si>
  <si>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</si>
  <si>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</si>
  <si>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</si>
  <si>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</si>
  <si>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</si>
  <si>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</si>
  <si>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</si>
  <si>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</si>
  <si>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</si>
  <si>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</si>
  <si>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</si>
  <si>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</si>
  <si>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</si>
  <si>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</si>
  <si>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</si>
  <si>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</si>
  <si>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</si>
  <si>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</si>
  <si>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</si>
  <si>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</si>
  <si>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</si>
  <si>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</si>
  <si>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</si>
  <si>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</si>
  <si>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</si>
  <si>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</si>
  <si>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</si>
  <si>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</si>
  <si>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</si>
  <si>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</si>
  <si>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</si>
  <si>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</si>
  <si>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</si>
  <si>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</si>
  <si>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</si>
  <si>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</si>
  <si>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</si>
  <si>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</si>
  <si>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</si>
  <si>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</si>
  <si>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</si>
  <si>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</si>
  <si>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</si>
  <si>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</si>
  <si>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</si>
  <si>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</si>
  <si>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</si>
  <si>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</si>
  <si>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</si>
  <si>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OPVK-rozvoj kompet.říd.prac.škol v KHK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</si>
  <si>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</si>
  <si>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</si>
  <si>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</si>
  <si>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</si>
  <si>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</si>
  <si>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</si>
  <si>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</si>
  <si>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</si>
  <si>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</si>
  <si>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</si>
  <si>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</si>
  <si>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</si>
  <si>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</si>
  <si>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</si>
  <si>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</si>
  <si>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</si>
  <si>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 xml:space="preserve">OPLZZ Vzd.poskyt.a zadavat. soc.sl.KHK IV.- SR </t>
  </si>
  <si>
    <t>OP LZZ Podpora soc.integr.obyv.vylouč.lok.v KHK II - SR</t>
  </si>
  <si>
    <t>ROP silnice a mosty - dotace z RRRS SV 2010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</si>
  <si>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</si>
  <si>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</si>
  <si>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</si>
  <si>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</si>
  <si>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</si>
  <si>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</si>
  <si>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</si>
  <si>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>projekty RRRS SV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</si>
  <si>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</si>
  <si>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</si>
  <si>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</si>
  <si>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</si>
  <si>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</si>
  <si>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</si>
  <si>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</si>
  <si>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</si>
  <si>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</si>
  <si>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</si>
  <si>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</si>
  <si>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</si>
  <si>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</si>
  <si>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zapojení zůstatku sociálního fondu z min.let</t>
  </si>
  <si>
    <t>zajiš.podm.zákl.vzděl.nezlet.azyl.na území ČR - SR</t>
  </si>
  <si>
    <t>část.kompenz.výdajů vzniklých při real.společ.maturit-SR</t>
  </si>
  <si>
    <t xml:space="preserve">  z MŽP</t>
  </si>
  <si>
    <t xml:space="preserve">  z SFŽP</t>
  </si>
  <si>
    <t>podpora činnosti informačních center - SR</t>
  </si>
  <si>
    <t>OP LZZ - zvýš.kvality řízení v úřadech úz.veř.spr.-SR</t>
  </si>
  <si>
    <t>dotace prostřednictvím čerpacích účtů - SR</t>
  </si>
  <si>
    <t>Dobrovolnictví na Náchodsku - SR</t>
  </si>
  <si>
    <t xml:space="preserve">OPVK-zvyš.kval.vzděl.zlepš.říd.procesů ve školách-SR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</si>
  <si>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</si>
  <si>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</si>
  <si>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</si>
  <si>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</si>
  <si>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</si>
  <si>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</si>
  <si>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</si>
  <si>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</si>
  <si>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</si>
  <si>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</si>
  <si>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</si>
  <si>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</si>
  <si>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</si>
  <si>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</si>
  <si>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</si>
  <si>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>OPVK-zvyš.kval.vzděl.zlepš.říd.procesů ve školách-SR 2011</t>
  </si>
  <si>
    <t>OP VK 5.1. - Technické zajištění, hodnotitelé,mzdy - SR 2011</t>
  </si>
  <si>
    <t>OP VK 5. 2. - Publicita a informovanost - SR 2011</t>
  </si>
  <si>
    <t>OPVK 1.5 - zlepšení podm.pro vzděl.na SŠ - SR</t>
  </si>
  <si>
    <t>excelence středních škol - SR</t>
  </si>
  <si>
    <t>NA ROK 2013</t>
  </si>
  <si>
    <t>kap. 21 - investice a evropské projekty</t>
  </si>
  <si>
    <t>kap. 48 - Dotační fond KHK</t>
  </si>
  <si>
    <t xml:space="preserve">neinvestiční transfery a.s. ZOO Dvůr Králové n. L. </t>
  </si>
  <si>
    <t xml:space="preserve">neinvestiční transfery a.s. - ZOO Dvůr Králové n. L. </t>
  </si>
  <si>
    <t>kap. 13 - evropská integrace a globální granty</t>
  </si>
  <si>
    <t>Modernizace a dostavba ON Náchod - úvěr</t>
  </si>
  <si>
    <t xml:space="preserve">                                  - Centrum EP-centrum sdíl.služeb</t>
  </si>
  <si>
    <t>EPC - běžné výdaje</t>
  </si>
  <si>
    <t>EPC - kapitálové výdaje</t>
  </si>
  <si>
    <t>kapitálové výdaje - doprava</t>
  </si>
  <si>
    <t>průmyslová zóna Vrchlabí</t>
  </si>
  <si>
    <t xml:space="preserve">kofinancování a předfinancování: </t>
  </si>
  <si>
    <t xml:space="preserve">                 doprava</t>
  </si>
  <si>
    <t xml:space="preserve">                 školství</t>
  </si>
  <si>
    <t xml:space="preserve">                 sociální věci</t>
  </si>
  <si>
    <t>v tom: Centrum EP - centrum sdíl.sl. - přísp.na provoz</t>
  </si>
  <si>
    <t xml:space="preserve">                                                     -  inv.transfer PO                                 </t>
  </si>
  <si>
    <t xml:space="preserve">          rezerva - inv.</t>
  </si>
  <si>
    <t xml:space="preserve">                 zdravotnictví</t>
  </si>
  <si>
    <t xml:space="preserve">                                  - Centrum EP - zóna Vrchlabí</t>
  </si>
  <si>
    <t>OP LZZ Služby soc.prevence v KHK II - SR r. 2012</t>
  </si>
  <si>
    <t>OP LZZ Podpora soc.integr.obyv.vylouč.lok.v KHK III - SR r.2012</t>
  </si>
  <si>
    <t>Česko-slovenská výměna zkuš.v obl.práce a soc.věcí - SR r. 2012</t>
  </si>
  <si>
    <t>Projekt technické pomoci OPPS ČR-PR 2007-2013 - SR 2012</t>
  </si>
  <si>
    <t>2GG 1.1.OPVK-Zvyšování kvality ve vzděl.II. - SR 2012</t>
  </si>
  <si>
    <t>2GG 1.2.OPVK-Rovné příl.dětí a ž.se sp.potř. II. - SR 2012</t>
  </si>
  <si>
    <t>2GG1.3.OPVK-Další vzděl.prac.škol a zař.  II. - SR 2012</t>
  </si>
  <si>
    <t>GG 1.1.OPVK-Zvyšování kvality ve vzdělávání - SR r.2012</t>
  </si>
  <si>
    <t>GG 1.1.OPVK-Zvyšování kvality ve vzděl.- SR  2012</t>
  </si>
  <si>
    <t>GG 1.2.OPVK-Rovné příl.dětí a ž.se sp.potř.-SR 2012</t>
  </si>
  <si>
    <t>GG1.3.OPVK-Další vzděl.prac.škol a zař. - SR 2012</t>
  </si>
  <si>
    <t>GG 1.2.OPVK-Rovné přílež.dětí a ž.se sp.potř.- SR r.2012</t>
  </si>
  <si>
    <t>GG1.3.OPVK-Další vzděl.prac.škol a zař. - SR r.2012</t>
  </si>
  <si>
    <t>GG VK 3.2 - Podpora nabídky dalšího vzdělávání - SR 2012</t>
  </si>
  <si>
    <t>GG OPVK 3.2 - Podpora nabídky dalšího vzdělávání - SR 2012</t>
  </si>
  <si>
    <t>OP VK 5.1. - Technická pomoc - administrace 2-SR 2012</t>
  </si>
  <si>
    <t>OP VK 5.3. - Podpora tvorby a přípravy projektů II - SR 2012</t>
  </si>
  <si>
    <t>Strategie integr.spolupr.česko-polského příhr.- SR 2012</t>
  </si>
  <si>
    <t>Digitální planetárium - SR 2012</t>
  </si>
  <si>
    <t>Modernizace přístup.komunikací k hranič.přech.-SR 2012</t>
  </si>
  <si>
    <t xml:space="preserve">rezerva </t>
  </si>
  <si>
    <t>volba prezidenta České republiky - SR</t>
  </si>
  <si>
    <t xml:space="preserve">2GG1.3.OPVK-Další vzděl.prac.škol a zař.  II. - SR </t>
  </si>
  <si>
    <t xml:space="preserve">2GG 1.1.OPVK-Zvyšování kvality ve vzděl.II. - SR </t>
  </si>
  <si>
    <t>OP LZZ - vzdělávání v eGON centrech krajů - SR 2012</t>
  </si>
  <si>
    <t>OP LZZ - zvýš.kvality řízení v úřadech úz.veř.spr.-SR 2012</t>
  </si>
  <si>
    <t>OP LZZ - rozvoj lektorského týmu - SR 2012</t>
  </si>
  <si>
    <t>průmyslová zóna Kvasiny</t>
  </si>
  <si>
    <t>GP - rovné příležitosti žen a mužů na KÚ KHK - SR 2012</t>
  </si>
  <si>
    <t xml:space="preserve">2GG 1.2.OPVK-Rovné příl.dětí a ž.se sp.potř. II. - SR </t>
  </si>
  <si>
    <t>bezpl.výuka přizpůsobená potřebám žáků-cizinců - SR</t>
  </si>
  <si>
    <t xml:space="preserve">                 kultura</t>
  </si>
  <si>
    <t>investiční transfery obcím - Město Jičín</t>
  </si>
  <si>
    <t>investiční transfery obcím - Město Nový Bydžov</t>
  </si>
  <si>
    <t>OP LZZ Rozvoj dostup.a kvality soc.sl.v KHK II - SR 2012</t>
  </si>
  <si>
    <t>OP LZZ Služby soc.prevence v KHK - SR r. 2012</t>
  </si>
  <si>
    <t>OP LZZ Podpora soc.integr.obyv.vylouč.lok.v KHK II - SR r.2012</t>
  </si>
  <si>
    <t>OPLZZ Vzd.poskyt.a zadavat. soc.sl.KHK IV.- SR r.2012</t>
  </si>
  <si>
    <t xml:space="preserve">                 org. 7777 a 9999</t>
  </si>
  <si>
    <t>OPVK-rozvoj kompet.říd.prac.škol v KHK - SR 2012</t>
  </si>
  <si>
    <t xml:space="preserve">       v tom: evropská integrace - ostatní</t>
  </si>
  <si>
    <t xml:space="preserve">investiční transfery obcím </t>
  </si>
  <si>
    <t>investiční transfery obcím - Město Clumec nad Cidlinou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</si>
  <si>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</si>
  <si>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</si>
  <si>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</si>
  <si>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</si>
  <si>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</si>
  <si>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</si>
  <si>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</si>
  <si>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AU</t>
  </si>
  <si>
    <t>ÚZ</t>
  </si>
  <si>
    <t>org.21</t>
  </si>
  <si>
    <t xml:space="preserve">OP VK 5.1. - Technická pomoc - administrace 2-SR </t>
  </si>
  <si>
    <t xml:space="preserve">OP LZZ Služby soc.prevence v KHK II - SR </t>
  </si>
  <si>
    <t xml:space="preserve">OP LZZ Podpora soc.integr.obyv.vylouč.lok.v KHK III - SR </t>
  </si>
  <si>
    <t xml:space="preserve">Česko-slovenská výměna zkuš.v obl.práce a soc.věcí - SR </t>
  </si>
  <si>
    <t xml:space="preserve">OP LZZ Rozvoj dostup.a kvality soc.sl.v KHK III - SR </t>
  </si>
  <si>
    <t xml:space="preserve">  z MZV</t>
  </si>
  <si>
    <t>posilování absorpčních kapacit regionu Banát - SR</t>
  </si>
  <si>
    <t>investiční transfer - Centrum EP-centrum sdíl.sl.</t>
  </si>
  <si>
    <t xml:space="preserve">ROP silnice a mosty - vratka dotace RRRS SV 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</si>
  <si>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</si>
  <si>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</si>
  <si>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</si>
  <si>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</si>
  <si>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zdravotnictví</t>
  </si>
  <si>
    <t>04 001</t>
  </si>
  <si>
    <t>OJ 61</t>
  </si>
  <si>
    <t>1400,0100</t>
  </si>
  <si>
    <t>04359</t>
  </si>
  <si>
    <t>3300,0100</t>
  </si>
  <si>
    <t>národní program řešení problematiky HIV/AIDS - SR</t>
  </si>
  <si>
    <t>kontaktní centrum a terénní služby na malém městě - SR</t>
  </si>
  <si>
    <t>výdaje jednotek sborů dobrovolných hasičů obcí - SR</t>
  </si>
  <si>
    <t xml:space="preserve">CEP, a.s. </t>
  </si>
  <si>
    <t xml:space="preserve">neinvestiční půjčené prostředky   </t>
  </si>
  <si>
    <t>připravenost poskyt. ZZS na mimoř.a krizové situace - SR</t>
  </si>
  <si>
    <t>nedaňové příjmy odvětví ostatní</t>
  </si>
  <si>
    <t>investiční věcný dar</t>
  </si>
  <si>
    <t xml:space="preserve">             sociální věci</t>
  </si>
  <si>
    <t>podpora soc.znevýh.romských žáků SŠ a studentů VOŠ  - SR</t>
  </si>
  <si>
    <t xml:space="preserve">OP VK 5.3. - Podpora tvorby a přípravy projektů II - SR </t>
  </si>
  <si>
    <t>vybavení školských poraden. zařízení diagnost.nástroji - SR</t>
  </si>
  <si>
    <t>řešení krizové situace při povodních v červnu 2013 - SR</t>
  </si>
  <si>
    <t xml:space="preserve">Strategie integr.spolupr.česko-polského příhr.- SR </t>
  </si>
  <si>
    <t>LABEL - transfery ze zahraničí</t>
  </si>
  <si>
    <t>krytí škod v dopr.infrastruktuře po povodních 2013 - SR</t>
  </si>
  <si>
    <t>Přeshraniční spolupráce ZZS KHK a Jelenie Góry - SR</t>
  </si>
  <si>
    <t>Transformace barevných domků Hajnice - čerpací limit SR</t>
  </si>
  <si>
    <t xml:space="preserve">  odvětví investice a evropské projekty</t>
  </si>
  <si>
    <t>IOP - II. Digitální mapa veřejné správy ÚKM a ÚAP - SR</t>
  </si>
  <si>
    <t>ÚZ 70</t>
  </si>
  <si>
    <t>IOP - I. a VI. Technologické centrum a el.spis.služba KHK - SR</t>
  </si>
  <si>
    <t xml:space="preserve">Digitální planetárium - SR </t>
  </si>
  <si>
    <t>OJ 62,org.50</t>
  </si>
  <si>
    <t>org.57</t>
  </si>
  <si>
    <t>org.13</t>
  </si>
  <si>
    <t>org.60</t>
  </si>
  <si>
    <t xml:space="preserve">             org. 7777</t>
  </si>
  <si>
    <t xml:space="preserve">   v tom: Centrum EP, PO</t>
  </si>
  <si>
    <t>soc.a zdr.služby pro osoby závislé a závislostí ohrožené - SR</t>
  </si>
  <si>
    <t>nedaňové příjmy odvětví regionální rozvoj</t>
  </si>
  <si>
    <t xml:space="preserve">  od DSO</t>
  </si>
  <si>
    <t>podpora implementace Etické výchovy v ZŠ a vícel.gymn.-SR</t>
  </si>
  <si>
    <t>průmyslová zóna Vrchlabí - SR</t>
  </si>
  <si>
    <t xml:space="preserve">změna </t>
  </si>
  <si>
    <t>usnesení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</si>
</sst>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10" xfId="38" applyNumberFormat="1" applyFont="1" applyBorder="1" applyAlignment="1">
      <alignment vertical="center"/>
    </xf>
    <xf numFmtId="165" fontId="4" fillId="0" borderId="11" xfId="38" applyNumberFormat="1" applyFont="1" applyBorder="1" applyAlignment="1">
      <alignment horizontal="center"/>
    </xf>
    <xf numFmtId="166" fontId="4" fillId="0" borderId="12" xfId="38" applyNumberFormat="1" applyFont="1" applyBorder="1" applyAlignment="1">
      <alignment/>
    </xf>
    <xf numFmtId="3" fontId="4" fillId="0" borderId="13" xfId="0" applyFont="1" applyBorder="1" applyAlignment="1">
      <alignment/>
    </xf>
    <xf numFmtId="3" fontId="5" fillId="0" borderId="13" xfId="0" applyFont="1" applyBorder="1" applyAlignment="1">
      <alignment/>
    </xf>
    <xf numFmtId="3" fontId="0" fillId="0" borderId="13" xfId="0" applyFont="1" applyBorder="1" applyAlignment="1">
      <alignment/>
    </xf>
    <xf numFmtId="3" fontId="0" fillId="0" borderId="13" xfId="0" applyBorder="1" applyAlignment="1">
      <alignment/>
    </xf>
    <xf numFmtId="3" fontId="4" fillId="0" borderId="13" xfId="0" applyFont="1" applyBorder="1" applyAlignment="1">
      <alignment/>
    </xf>
    <xf numFmtId="3" fontId="5" fillId="0" borderId="13" xfId="0" applyFont="1" applyBorder="1" applyAlignment="1">
      <alignment/>
    </xf>
    <xf numFmtId="3" fontId="0" fillId="0" borderId="14" xfId="0" applyBorder="1" applyAlignment="1">
      <alignment/>
    </xf>
    <xf numFmtId="3" fontId="0" fillId="0" borderId="13" xfId="0" applyFont="1" applyBorder="1" applyAlignment="1">
      <alignment/>
    </xf>
    <xf numFmtId="3" fontId="2" fillId="0" borderId="15" xfId="0" applyFont="1" applyBorder="1" applyAlignment="1">
      <alignment vertical="center"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/>
    </xf>
    <xf numFmtId="3" fontId="0" fillId="0" borderId="14" xfId="0" applyFont="1" applyBorder="1" applyAlignment="1">
      <alignment/>
    </xf>
    <xf numFmtId="3" fontId="7" fillId="0" borderId="13" xfId="0" applyFont="1" applyBorder="1" applyAlignment="1">
      <alignment/>
    </xf>
    <xf numFmtId="3" fontId="7" fillId="0" borderId="14" xfId="0" applyFont="1" applyBorder="1" applyAlignment="1">
      <alignment/>
    </xf>
    <xf numFmtId="3" fontId="0" fillId="0" borderId="14" xfId="0" applyFont="1" applyBorder="1" applyAlignment="1">
      <alignment/>
    </xf>
    <xf numFmtId="3" fontId="4" fillId="0" borderId="13" xfId="0" applyFont="1" applyFill="1" applyBorder="1" applyAlignment="1">
      <alignment/>
    </xf>
    <xf numFmtId="3" fontId="0" fillId="0" borderId="13" xfId="0" applyFill="1" applyBorder="1" applyAlignment="1">
      <alignment/>
    </xf>
    <xf numFmtId="3" fontId="4" fillId="0" borderId="15" xfId="0" applyFont="1" applyBorder="1" applyAlignment="1">
      <alignment/>
    </xf>
    <xf numFmtId="3" fontId="3" fillId="0" borderId="16" xfId="0" applyFont="1" applyBorder="1" applyAlignment="1">
      <alignment vertical="center"/>
    </xf>
    <xf numFmtId="3" fontId="4" fillId="0" borderId="16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2" fillId="0" borderId="17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0" fillId="0" borderId="13" xfId="0" applyFont="1" applyBorder="1" applyAlignment="1">
      <alignment vertical="center"/>
    </xf>
    <xf numFmtId="3" fontId="7" fillId="0" borderId="13" xfId="0" applyFont="1" applyBorder="1" applyAlignment="1">
      <alignment/>
    </xf>
    <xf numFmtId="3" fontId="4" fillId="0" borderId="13" xfId="0" applyFont="1" applyBorder="1" applyAlignment="1">
      <alignment horizontal="left" vertical="center"/>
    </xf>
    <xf numFmtId="165" fontId="4" fillId="0" borderId="18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5" xfId="0" applyBorder="1" applyAlignment="1">
      <alignment vertical="center"/>
    </xf>
    <xf numFmtId="166" fontId="4" fillId="0" borderId="12" xfId="38" applyNumberFormat="1" applyFont="1" applyBorder="1" applyAlignment="1">
      <alignment/>
    </xf>
    <xf numFmtId="166" fontId="6" fillId="0" borderId="12" xfId="38" applyNumberFormat="1" applyFont="1" applyBorder="1" applyAlignment="1">
      <alignment/>
    </xf>
    <xf numFmtId="166" fontId="3" fillId="0" borderId="19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3" fontId="47" fillId="0" borderId="0" xfId="0" applyFont="1" applyAlignment="1">
      <alignment/>
    </xf>
    <xf numFmtId="166" fontId="0" fillId="0" borderId="12" xfId="38" applyNumberFormat="1" applyFont="1" applyBorder="1" applyAlignment="1">
      <alignment/>
    </xf>
    <xf numFmtId="165" fontId="4" fillId="0" borderId="10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66" fontId="2" fillId="0" borderId="20" xfId="38" applyNumberFormat="1" applyFont="1" applyBorder="1" applyAlignment="1">
      <alignment vertical="center"/>
    </xf>
    <xf numFmtId="166" fontId="6" fillId="0" borderId="12" xfId="38" applyNumberFormat="1" applyFont="1" applyBorder="1" applyAlignment="1">
      <alignment/>
    </xf>
    <xf numFmtId="3" fontId="0" fillId="0" borderId="21" xfId="0" applyBorder="1" applyAlignment="1">
      <alignment/>
    </xf>
    <xf numFmtId="3" fontId="0" fillId="0" borderId="12" xfId="0" applyBorder="1" applyAlignment="1">
      <alignment/>
    </xf>
    <xf numFmtId="167" fontId="4" fillId="0" borderId="12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4" fillId="0" borderId="21" xfId="38" applyNumberFormat="1" applyFont="1" applyBorder="1" applyAlignment="1">
      <alignment/>
    </xf>
    <xf numFmtId="167" fontId="0" fillId="0" borderId="21" xfId="38" applyNumberFormat="1" applyFont="1" applyBorder="1" applyAlignment="1">
      <alignment/>
    </xf>
    <xf numFmtId="167" fontId="4" fillId="0" borderId="21" xfId="38" applyNumberFormat="1" applyFont="1" applyBorder="1" applyAlignment="1">
      <alignment/>
    </xf>
    <xf numFmtId="167" fontId="2" fillId="0" borderId="18" xfId="38" applyNumberFormat="1" applyFont="1" applyBorder="1" applyAlignment="1">
      <alignment vertical="center"/>
    </xf>
    <xf numFmtId="167" fontId="6" fillId="0" borderId="21" xfId="38" applyNumberFormat="1" applyFont="1" applyBorder="1" applyAlignment="1">
      <alignment/>
    </xf>
    <xf numFmtId="167" fontId="6" fillId="0" borderId="21" xfId="38" applyNumberFormat="1" applyFont="1" applyBorder="1" applyAlignment="1">
      <alignment/>
    </xf>
    <xf numFmtId="167" fontId="3" fillId="0" borderId="22" xfId="38" applyNumberFormat="1" applyFont="1" applyBorder="1" applyAlignment="1">
      <alignment vertical="center"/>
    </xf>
    <xf numFmtId="167" fontId="2" fillId="0" borderId="22" xfId="38" applyNumberFormat="1" applyFont="1" applyBorder="1" applyAlignment="1">
      <alignment vertical="center"/>
    </xf>
    <xf numFmtId="167" fontId="3" fillId="0" borderId="21" xfId="38" applyNumberFormat="1" applyFont="1" applyBorder="1" applyAlignment="1">
      <alignment vertical="center"/>
    </xf>
    <xf numFmtId="167" fontId="3" fillId="0" borderId="18" xfId="38" applyNumberFormat="1" applyFont="1" applyBorder="1" applyAlignment="1">
      <alignment vertical="center"/>
    </xf>
    <xf numFmtId="167" fontId="2" fillId="0" borderId="11" xfId="38" applyNumberFormat="1" applyFont="1" applyBorder="1" applyAlignment="1">
      <alignment vertical="center"/>
    </xf>
    <xf numFmtId="167" fontId="0" fillId="0" borderId="18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33" borderId="21" xfId="0" applyNumberFormat="1" applyFill="1" applyBorder="1" applyAlignment="1">
      <alignment/>
    </xf>
    <xf numFmtId="166" fontId="3" fillId="0" borderId="13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6" fontId="8" fillId="0" borderId="15" xfId="38" applyNumberFormat="1" applyFont="1" applyBorder="1" applyAlignment="1">
      <alignment vertical="center"/>
    </xf>
    <xf numFmtId="165" fontId="4" fillId="0" borderId="17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2" fillId="0" borderId="15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4" fillId="0" borderId="25" xfId="38" applyNumberFormat="1" applyFont="1" applyBorder="1" applyAlignment="1">
      <alignment/>
    </xf>
    <xf numFmtId="166" fontId="0" fillId="0" borderId="13" xfId="38" applyNumberFormat="1" applyFont="1" applyFill="1" applyBorder="1" applyAlignment="1">
      <alignment/>
    </xf>
    <xf numFmtId="166" fontId="0" fillId="0" borderId="14" xfId="38" applyNumberFormat="1" applyFont="1" applyFill="1" applyBorder="1" applyAlignment="1">
      <alignment/>
    </xf>
    <xf numFmtId="3" fontId="4" fillId="0" borderId="17" xfId="0" applyFont="1" applyBorder="1" applyAlignment="1">
      <alignment horizontal="center" vertical="center"/>
    </xf>
    <xf numFmtId="3" fontId="4" fillId="0" borderId="15" xfId="0" applyFont="1" applyBorder="1" applyAlignment="1">
      <alignment horizontal="center" vertical="center"/>
    </xf>
    <xf numFmtId="165" fontId="4" fillId="0" borderId="13" xfId="38" applyNumberFormat="1" applyFont="1" applyBorder="1" applyAlignment="1">
      <alignment horizontal="center"/>
    </xf>
    <xf numFmtId="3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66" fontId="7" fillId="0" borderId="13" xfId="38" applyNumberFormat="1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9" fillId="0" borderId="13" xfId="0" applyNumberFormat="1" applyFont="1" applyBorder="1" applyAlignment="1">
      <alignment/>
    </xf>
    <xf numFmtId="3" fontId="0" fillId="0" borderId="13" xfId="0" applyFont="1" applyBorder="1" applyAlignment="1">
      <alignment horizontal="center"/>
    </xf>
    <xf numFmtId="3" fontId="7" fillId="0" borderId="13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166" fontId="0" fillId="0" borderId="13" xfId="38" applyNumberFormat="1" applyFont="1" applyBorder="1" applyAlignment="1">
      <alignment/>
    </xf>
    <xf numFmtId="3" fontId="6" fillId="0" borderId="13" xfId="0" applyFont="1" applyBorder="1" applyAlignment="1">
      <alignment horizontal="center"/>
    </xf>
    <xf numFmtId="3" fontId="0" fillId="0" borderId="14" xfId="0" applyFont="1" applyBorder="1" applyAlignment="1">
      <alignment horizontal="center"/>
    </xf>
    <xf numFmtId="167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/>
    </xf>
    <xf numFmtId="3" fontId="7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6" fontId="0" fillId="0" borderId="14" xfId="38" applyNumberFormat="1" applyFont="1" applyBorder="1" applyAlignment="1">
      <alignment/>
    </xf>
    <xf numFmtId="166" fontId="4" fillId="0" borderId="25" xfId="38" applyNumberFormat="1" applyFont="1" applyBorder="1" applyAlignment="1">
      <alignment/>
    </xf>
    <xf numFmtId="165" fontId="10" fillId="0" borderId="17" xfId="38" applyNumberFormat="1" applyFont="1" applyBorder="1" applyAlignment="1">
      <alignment horizontal="center"/>
    </xf>
    <xf numFmtId="165" fontId="10" fillId="0" borderId="15" xfId="38" applyNumberFormat="1" applyFont="1" applyBorder="1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7" xfId="0" applyFont="1" applyBorder="1" applyAlignment="1">
      <alignment horizontal="center" vertical="center"/>
    </xf>
    <xf numFmtId="3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5"/>
  <sheetViews>
    <sheetView zoomScaleSheetLayoutView="69" zoomScalePageLayoutView="0" workbookViewId="0" topLeftCell="A1">
      <pane xSplit="1" ySplit="9" topLeftCell="C5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90" sqref="M90"/>
    </sheetView>
  </sheetViews>
  <sheetFormatPr defaultColWidth="9.00390625" defaultRowHeight="12.75"/>
  <cols>
    <col min="1" max="1" width="52.50390625" style="0" customWidth="1"/>
    <col min="2" max="2" width="9.00390625" style="0" hidden="1" customWidth="1"/>
    <col min="3" max="3" width="14.875" style="0" customWidth="1"/>
    <col min="4" max="4" width="15.375" style="0" hidden="1" customWidth="1"/>
    <col min="5" max="5" width="12.875" style="0" hidden="1" customWidth="1"/>
    <col min="6" max="6" width="14.50390625" style="0" hidden="1" customWidth="1"/>
    <col min="7" max="7" width="13.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3" width="14.875" style="0" customWidth="1"/>
    <col min="14" max="14" width="13.50390625" style="0" hidden="1" customWidth="1"/>
    <col min="15" max="15" width="14.875" style="0" customWidth="1"/>
    <col min="16" max="16" width="13.37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/>
      <c r="L1" s="2"/>
      <c r="O1" s="2" t="s">
        <v>185</v>
      </c>
      <c r="Q1" s="2" t="s">
        <v>185</v>
      </c>
    </row>
    <row r="2" spans="3:6" ht="9.75" customHeight="1">
      <c r="C2" s="1"/>
      <c r="D2" s="1"/>
      <c r="E2" s="1"/>
      <c r="F2" s="2"/>
    </row>
    <row r="3" spans="1:17" ht="15">
      <c r="A3" s="122" t="s">
        <v>0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">
      <c r="A4" s="124" t="s">
        <v>260</v>
      </c>
      <c r="B4" s="12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3.5">
      <c r="A5" s="125" t="s">
        <v>1</v>
      </c>
      <c r="B5" s="125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2.75">
      <c r="A6" s="126" t="s">
        <v>2</v>
      </c>
      <c r="B6" s="126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3" ht="18" customHeight="1" thickBot="1">
      <c r="A7" s="3"/>
      <c r="B7" s="3"/>
      <c r="C7" s="4"/>
      <c r="D7" s="4"/>
      <c r="E7" s="4"/>
      <c r="F7" s="4"/>
      <c r="J7" s="44"/>
      <c r="M7" s="35"/>
    </row>
    <row r="8" spans="1:17" ht="12.75">
      <c r="A8" s="127" t="s">
        <v>3</v>
      </c>
      <c r="B8" s="93" t="s">
        <v>331</v>
      </c>
      <c r="C8" s="81" t="s">
        <v>4</v>
      </c>
      <c r="D8" s="81" t="s">
        <v>5</v>
      </c>
      <c r="E8" s="81" t="s">
        <v>6</v>
      </c>
      <c r="F8" s="81" t="s">
        <v>7</v>
      </c>
      <c r="G8" s="81" t="s">
        <v>8</v>
      </c>
      <c r="H8" s="81" t="s">
        <v>6</v>
      </c>
      <c r="I8" s="81" t="s">
        <v>7</v>
      </c>
      <c r="J8" s="81" t="s">
        <v>9</v>
      </c>
      <c r="K8" s="81" t="s">
        <v>6</v>
      </c>
      <c r="L8" s="81" t="s">
        <v>7</v>
      </c>
      <c r="M8" s="81" t="s">
        <v>10</v>
      </c>
      <c r="N8" s="81" t="s">
        <v>6</v>
      </c>
      <c r="O8" s="81" t="s">
        <v>7</v>
      </c>
      <c r="P8" s="6" t="s">
        <v>249</v>
      </c>
      <c r="Q8" s="46" t="s">
        <v>7</v>
      </c>
    </row>
    <row r="9" spans="1:17" ht="13.5" thickBot="1">
      <c r="A9" s="128"/>
      <c r="B9" s="94" t="s">
        <v>332</v>
      </c>
      <c r="C9" s="82" t="s">
        <v>11</v>
      </c>
      <c r="D9" s="82" t="s">
        <v>12</v>
      </c>
      <c r="E9" s="82" t="s">
        <v>13</v>
      </c>
      <c r="F9" s="82" t="s">
        <v>14</v>
      </c>
      <c r="G9" s="82" t="s">
        <v>12</v>
      </c>
      <c r="H9" s="82" t="s">
        <v>13</v>
      </c>
      <c r="I9" s="82" t="s">
        <v>15</v>
      </c>
      <c r="J9" s="82" t="s">
        <v>12</v>
      </c>
      <c r="K9" s="82" t="s">
        <v>13</v>
      </c>
      <c r="L9" s="82" t="s">
        <v>16</v>
      </c>
      <c r="M9" s="82" t="s">
        <v>12</v>
      </c>
      <c r="N9" s="82" t="s">
        <v>13</v>
      </c>
      <c r="O9" s="82" t="s">
        <v>17</v>
      </c>
      <c r="P9" s="34" t="s">
        <v>12</v>
      </c>
      <c r="Q9" s="47" t="s">
        <v>250</v>
      </c>
    </row>
    <row r="10" spans="1:17" ht="15.75" customHeight="1">
      <c r="A10" s="33" t="s">
        <v>18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95"/>
      <c r="N10" s="95"/>
      <c r="O10" s="95"/>
      <c r="P10" s="50"/>
      <c r="Q10" s="51"/>
    </row>
    <row r="11" spans="1:17" ht="12.75">
      <c r="A11" s="8" t="s">
        <v>19</v>
      </c>
      <c r="B11" s="8"/>
      <c r="C11" s="83">
        <v>2990000</v>
      </c>
      <c r="D11" s="83"/>
      <c r="E11" s="83"/>
      <c r="F11" s="83">
        <f>C11+D11+E11</f>
        <v>2990000</v>
      </c>
      <c r="G11" s="83">
        <v>21481.1</v>
      </c>
      <c r="H11" s="83"/>
      <c r="I11" s="83">
        <f>F11+G11+H11</f>
        <v>3011481.1</v>
      </c>
      <c r="J11" s="83"/>
      <c r="K11" s="83"/>
      <c r="L11" s="83">
        <f>I11+J11+K11</f>
        <v>3011481.1</v>
      </c>
      <c r="M11" s="83"/>
      <c r="N11" s="83"/>
      <c r="O11" s="83">
        <f>L11+M11+N11</f>
        <v>3011481.1</v>
      </c>
      <c r="P11" s="55"/>
      <c r="Q11" s="52">
        <f>O11+P11</f>
        <v>3011481.1</v>
      </c>
    </row>
    <row r="12" spans="1:17" ht="12.75">
      <c r="A12" s="9" t="s">
        <v>20</v>
      </c>
      <c r="B12" s="9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55"/>
      <c r="Q12" s="53"/>
    </row>
    <row r="13" spans="1:17" ht="12.75">
      <c r="A13" s="10" t="s">
        <v>21</v>
      </c>
      <c r="B13" s="10"/>
      <c r="C13" s="83"/>
      <c r="D13" s="84"/>
      <c r="E13" s="84"/>
      <c r="F13" s="84">
        <f>C13+D13+E13</f>
        <v>0</v>
      </c>
      <c r="G13" s="84">
        <v>21481.1</v>
      </c>
      <c r="H13" s="83"/>
      <c r="I13" s="84">
        <f>F13+G13+H13</f>
        <v>21481.1</v>
      </c>
      <c r="J13" s="84"/>
      <c r="K13" s="83"/>
      <c r="L13" s="84">
        <f>I13+J13+K13</f>
        <v>21481.1</v>
      </c>
      <c r="M13" s="84"/>
      <c r="N13" s="83"/>
      <c r="O13" s="84">
        <f>L13+M13+N13</f>
        <v>21481.1</v>
      </c>
      <c r="P13" s="55"/>
      <c r="Q13" s="53">
        <f aca="true" t="shared" si="0" ref="Q13:Q81">O13+P13</f>
        <v>21481.1</v>
      </c>
    </row>
    <row r="14" spans="1:17" ht="12.75">
      <c r="A14" s="8" t="s">
        <v>22</v>
      </c>
      <c r="B14" s="8"/>
      <c r="C14" s="83">
        <f>SUM(C16:C35)</f>
        <v>253134.9</v>
      </c>
      <c r="D14" s="83">
        <f aca="true" t="shared" si="1" ref="D14:Q14">SUM(D16:D35)</f>
        <v>0</v>
      </c>
      <c r="E14" s="83">
        <f t="shared" si="1"/>
        <v>0</v>
      </c>
      <c r="F14" s="83">
        <f t="shared" si="1"/>
        <v>253134.9</v>
      </c>
      <c r="G14" s="83">
        <f t="shared" si="1"/>
        <v>448.3</v>
      </c>
      <c r="H14" s="83">
        <f t="shared" si="1"/>
        <v>-2490.1</v>
      </c>
      <c r="I14" s="83">
        <f t="shared" si="1"/>
        <v>251093.1</v>
      </c>
      <c r="J14" s="83">
        <f t="shared" si="1"/>
        <v>3800.199999999999</v>
      </c>
      <c r="K14" s="83">
        <f t="shared" si="1"/>
        <v>6291.5</v>
      </c>
      <c r="L14" s="83">
        <f t="shared" si="1"/>
        <v>261184.8</v>
      </c>
      <c r="M14" s="83">
        <f t="shared" si="1"/>
        <v>20794.899999999998</v>
      </c>
      <c r="N14" s="83">
        <f t="shared" si="1"/>
        <v>0</v>
      </c>
      <c r="O14" s="83">
        <f t="shared" si="1"/>
        <v>281979.69999999995</v>
      </c>
      <c r="P14" s="56">
        <f t="shared" si="1"/>
        <v>0</v>
      </c>
      <c r="Q14" s="38">
        <f t="shared" si="1"/>
        <v>275874.6</v>
      </c>
    </row>
    <row r="15" spans="1:17" ht="10.5" customHeight="1">
      <c r="A15" s="9" t="s">
        <v>23</v>
      </c>
      <c r="B15" s="9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5"/>
      <c r="Q15" s="53"/>
    </row>
    <row r="16" spans="1:17" ht="12.75">
      <c r="A16" s="10" t="s">
        <v>24</v>
      </c>
      <c r="B16" s="10"/>
      <c r="C16" s="84">
        <v>4000</v>
      </c>
      <c r="D16" s="84"/>
      <c r="E16" s="84"/>
      <c r="F16" s="84">
        <f>C16+D16+E16</f>
        <v>4000</v>
      </c>
      <c r="G16" s="84"/>
      <c r="H16" s="84"/>
      <c r="I16" s="84">
        <f>F16+G16+H16</f>
        <v>4000</v>
      </c>
      <c r="J16" s="84"/>
      <c r="K16" s="84"/>
      <c r="L16" s="84">
        <f>I16+J16+K16</f>
        <v>4000</v>
      </c>
      <c r="M16" s="84"/>
      <c r="N16" s="84"/>
      <c r="O16" s="84">
        <f>L16+M16+N16</f>
        <v>4000</v>
      </c>
      <c r="P16" s="55"/>
      <c r="Q16" s="53">
        <f t="shared" si="0"/>
        <v>4000</v>
      </c>
    </row>
    <row r="17" spans="1:17" ht="12.75">
      <c r="A17" s="10" t="s">
        <v>25</v>
      </c>
      <c r="B17" s="10"/>
      <c r="C17" s="84"/>
      <c r="D17" s="84"/>
      <c r="E17" s="84"/>
      <c r="F17" s="84">
        <f aca="true" t="shared" si="2" ref="F17:F34">C17+D17+E17</f>
        <v>0</v>
      </c>
      <c r="G17" s="84"/>
      <c r="H17" s="84"/>
      <c r="I17" s="84">
        <f aca="true" t="shared" si="3" ref="I17:I34">F17+G17+H17</f>
        <v>0</v>
      </c>
      <c r="J17" s="84">
        <v>2000</v>
      </c>
      <c r="K17" s="84"/>
      <c r="L17" s="84">
        <f aca="true" t="shared" si="4" ref="L17:L34">I17+J17+K17</f>
        <v>2000</v>
      </c>
      <c r="M17" s="84">
        <v>13000</v>
      </c>
      <c r="N17" s="84"/>
      <c r="O17" s="84">
        <f aca="true" t="shared" si="5" ref="O17:O34">L17+M17+N17</f>
        <v>15000</v>
      </c>
      <c r="P17" s="55"/>
      <c r="Q17" s="53">
        <f t="shared" si="0"/>
        <v>15000</v>
      </c>
    </row>
    <row r="18" spans="1:17" ht="12.75" hidden="1">
      <c r="A18" s="10" t="s">
        <v>26</v>
      </c>
      <c r="B18" s="10"/>
      <c r="C18" s="84"/>
      <c r="D18" s="84"/>
      <c r="E18" s="84"/>
      <c r="F18" s="84">
        <f t="shared" si="2"/>
        <v>0</v>
      </c>
      <c r="G18" s="84"/>
      <c r="H18" s="84"/>
      <c r="I18" s="84">
        <f t="shared" si="3"/>
        <v>0</v>
      </c>
      <c r="J18" s="84"/>
      <c r="K18" s="84"/>
      <c r="L18" s="84">
        <f t="shared" si="4"/>
        <v>0</v>
      </c>
      <c r="M18" s="84"/>
      <c r="N18" s="84"/>
      <c r="O18" s="84">
        <f t="shared" si="5"/>
        <v>0</v>
      </c>
      <c r="P18" s="55"/>
      <c r="Q18" s="53">
        <f t="shared" si="0"/>
        <v>0</v>
      </c>
    </row>
    <row r="19" spans="1:17" ht="12.75" hidden="1">
      <c r="A19" s="10" t="s">
        <v>27</v>
      </c>
      <c r="B19" s="10"/>
      <c r="C19" s="84"/>
      <c r="D19" s="84"/>
      <c r="E19" s="84"/>
      <c r="F19" s="84">
        <f t="shared" si="2"/>
        <v>0</v>
      </c>
      <c r="G19" s="84"/>
      <c r="H19" s="84"/>
      <c r="I19" s="84">
        <f t="shared" si="3"/>
        <v>0</v>
      </c>
      <c r="J19" s="84"/>
      <c r="K19" s="84"/>
      <c r="L19" s="84">
        <f t="shared" si="4"/>
        <v>0</v>
      </c>
      <c r="M19" s="84"/>
      <c r="N19" s="84"/>
      <c r="O19" s="84">
        <f t="shared" si="5"/>
        <v>0</v>
      </c>
      <c r="P19" s="55"/>
      <c r="Q19" s="53">
        <f t="shared" si="0"/>
        <v>0</v>
      </c>
    </row>
    <row r="20" spans="1:17" ht="12.75">
      <c r="A20" s="10" t="s">
        <v>28</v>
      </c>
      <c r="B20" s="10"/>
      <c r="C20" s="84">
        <v>45000</v>
      </c>
      <c r="D20" s="84"/>
      <c r="E20" s="84"/>
      <c r="F20" s="84">
        <f t="shared" si="2"/>
        <v>45000</v>
      </c>
      <c r="G20" s="84"/>
      <c r="H20" s="84"/>
      <c r="I20" s="84">
        <f t="shared" si="3"/>
        <v>45000</v>
      </c>
      <c r="J20" s="84"/>
      <c r="K20" s="84"/>
      <c r="L20" s="84">
        <f t="shared" si="4"/>
        <v>45000</v>
      </c>
      <c r="M20" s="84"/>
      <c r="N20" s="84"/>
      <c r="O20" s="84">
        <f t="shared" si="5"/>
        <v>45000</v>
      </c>
      <c r="P20" s="55"/>
      <c r="Q20" s="53">
        <f t="shared" si="0"/>
        <v>45000</v>
      </c>
    </row>
    <row r="21" spans="1:17" ht="12.75" hidden="1">
      <c r="A21" s="10" t="s">
        <v>29</v>
      </c>
      <c r="B21" s="10"/>
      <c r="C21" s="84"/>
      <c r="D21" s="84"/>
      <c r="E21" s="84"/>
      <c r="F21" s="84">
        <f t="shared" si="2"/>
        <v>0</v>
      </c>
      <c r="G21" s="84"/>
      <c r="H21" s="84"/>
      <c r="I21" s="84">
        <f t="shared" si="3"/>
        <v>0</v>
      </c>
      <c r="J21" s="84"/>
      <c r="K21" s="84"/>
      <c r="L21" s="84">
        <f t="shared" si="4"/>
        <v>0</v>
      </c>
      <c r="M21" s="84"/>
      <c r="N21" s="84"/>
      <c r="O21" s="84">
        <f t="shared" si="5"/>
        <v>0</v>
      </c>
      <c r="P21" s="55"/>
      <c r="Q21" s="53">
        <f t="shared" si="0"/>
        <v>0</v>
      </c>
    </row>
    <row r="22" spans="1:17" ht="12.75">
      <c r="A22" s="10" t="s">
        <v>30</v>
      </c>
      <c r="B22" s="10"/>
      <c r="C22" s="84"/>
      <c r="D22" s="84"/>
      <c r="E22" s="84"/>
      <c r="F22" s="84">
        <f t="shared" si="2"/>
        <v>0</v>
      </c>
      <c r="G22" s="84">
        <f>64.2+367</f>
        <v>431.2</v>
      </c>
      <c r="H22" s="84"/>
      <c r="I22" s="84">
        <f t="shared" si="3"/>
        <v>431.2</v>
      </c>
      <c r="J22" s="84">
        <f>1306.1+3.5</f>
        <v>1309.6</v>
      </c>
      <c r="K22" s="84"/>
      <c r="L22" s="84">
        <f t="shared" si="4"/>
        <v>1740.8</v>
      </c>
      <c r="M22" s="84">
        <f>10+3.2+130.6+17.9+135.7</f>
        <v>297.4</v>
      </c>
      <c r="N22" s="84"/>
      <c r="O22" s="84">
        <f t="shared" si="5"/>
        <v>2038.1999999999998</v>
      </c>
      <c r="P22" s="55"/>
      <c r="Q22" s="53">
        <f t="shared" si="0"/>
        <v>2038.1999999999998</v>
      </c>
    </row>
    <row r="23" spans="1:17" ht="12.75">
      <c r="A23" s="11" t="s">
        <v>197</v>
      </c>
      <c r="B23" s="11"/>
      <c r="C23" s="84">
        <v>21557.4</v>
      </c>
      <c r="D23" s="84"/>
      <c r="E23" s="84"/>
      <c r="F23" s="84">
        <f t="shared" si="2"/>
        <v>21557.4</v>
      </c>
      <c r="G23" s="84"/>
      <c r="H23" s="84"/>
      <c r="I23" s="84">
        <f t="shared" si="3"/>
        <v>21557.4</v>
      </c>
      <c r="J23" s="84"/>
      <c r="K23" s="84"/>
      <c r="L23" s="84">
        <f t="shared" si="4"/>
        <v>21557.4</v>
      </c>
      <c r="M23" s="84"/>
      <c r="N23" s="84"/>
      <c r="O23" s="84">
        <f t="shared" si="5"/>
        <v>21557.4</v>
      </c>
      <c r="P23" s="55"/>
      <c r="Q23" s="53">
        <f t="shared" si="0"/>
        <v>21557.4</v>
      </c>
    </row>
    <row r="24" spans="1:17" ht="12.75">
      <c r="A24" s="11" t="s">
        <v>217</v>
      </c>
      <c r="B24" s="11"/>
      <c r="C24" s="84">
        <v>57526</v>
      </c>
      <c r="D24" s="84"/>
      <c r="E24" s="84"/>
      <c r="F24" s="84">
        <f t="shared" si="2"/>
        <v>57526</v>
      </c>
      <c r="G24" s="84"/>
      <c r="H24" s="84"/>
      <c r="I24" s="84">
        <f t="shared" si="3"/>
        <v>57526</v>
      </c>
      <c r="J24" s="84">
        <v>583.4</v>
      </c>
      <c r="K24" s="84"/>
      <c r="L24" s="84">
        <f t="shared" si="4"/>
        <v>58109.4</v>
      </c>
      <c r="M24" s="84">
        <v>7198.6</v>
      </c>
      <c r="N24" s="84"/>
      <c r="O24" s="84">
        <f t="shared" si="5"/>
        <v>65308</v>
      </c>
      <c r="P24" s="55"/>
      <c r="Q24" s="53">
        <f t="shared" si="0"/>
        <v>65308</v>
      </c>
    </row>
    <row r="25" spans="1:17" ht="12.75" hidden="1">
      <c r="A25" s="11" t="s">
        <v>243</v>
      </c>
      <c r="B25" s="11"/>
      <c r="C25" s="84"/>
      <c r="D25" s="84"/>
      <c r="E25" s="84"/>
      <c r="F25" s="84">
        <f t="shared" si="2"/>
        <v>0</v>
      </c>
      <c r="G25" s="84"/>
      <c r="H25" s="84"/>
      <c r="I25" s="84">
        <f t="shared" si="3"/>
        <v>0</v>
      </c>
      <c r="J25" s="84"/>
      <c r="K25" s="84"/>
      <c r="L25" s="84">
        <f t="shared" si="4"/>
        <v>0</v>
      </c>
      <c r="M25" s="84"/>
      <c r="N25" s="84"/>
      <c r="O25" s="84">
        <f t="shared" si="5"/>
        <v>0</v>
      </c>
      <c r="P25" s="55"/>
      <c r="Q25" s="53">
        <f t="shared" si="0"/>
        <v>0</v>
      </c>
    </row>
    <row r="26" spans="1:17" ht="12.75" hidden="1">
      <c r="A26" s="11" t="s">
        <v>218</v>
      </c>
      <c r="B26" s="11"/>
      <c r="C26" s="84"/>
      <c r="D26" s="84"/>
      <c r="E26" s="84"/>
      <c r="F26" s="84">
        <f t="shared" si="2"/>
        <v>0</v>
      </c>
      <c r="G26" s="84"/>
      <c r="H26" s="84"/>
      <c r="I26" s="84">
        <f t="shared" si="3"/>
        <v>0</v>
      </c>
      <c r="J26" s="84"/>
      <c r="K26" s="84"/>
      <c r="L26" s="84">
        <f t="shared" si="4"/>
        <v>0</v>
      </c>
      <c r="M26" s="84"/>
      <c r="N26" s="84"/>
      <c r="O26" s="84">
        <f t="shared" si="5"/>
        <v>0</v>
      </c>
      <c r="P26" s="55"/>
      <c r="Q26" s="53">
        <f t="shared" si="0"/>
        <v>0</v>
      </c>
    </row>
    <row r="27" spans="1:17" ht="12.75">
      <c r="A27" s="11" t="s">
        <v>219</v>
      </c>
      <c r="B27" s="11"/>
      <c r="C27" s="84"/>
      <c r="D27" s="84"/>
      <c r="E27" s="84"/>
      <c r="F27" s="84">
        <f t="shared" si="2"/>
        <v>0</v>
      </c>
      <c r="G27" s="84"/>
      <c r="H27" s="84"/>
      <c r="I27" s="84">
        <f t="shared" si="3"/>
        <v>0</v>
      </c>
      <c r="J27" s="84">
        <v>960.4</v>
      </c>
      <c r="K27" s="84"/>
      <c r="L27" s="84">
        <f t="shared" si="4"/>
        <v>960.4</v>
      </c>
      <c r="M27" s="84"/>
      <c r="N27" s="84"/>
      <c r="O27" s="84">
        <f t="shared" si="5"/>
        <v>960.4</v>
      </c>
      <c r="P27" s="55"/>
      <c r="Q27" s="53">
        <f t="shared" si="0"/>
        <v>960.4</v>
      </c>
    </row>
    <row r="28" spans="1:17" ht="12.75">
      <c r="A28" s="11" t="s">
        <v>359</v>
      </c>
      <c r="B28" s="11"/>
      <c r="C28" s="84"/>
      <c r="D28" s="84"/>
      <c r="E28" s="84"/>
      <c r="F28" s="84"/>
      <c r="G28" s="84"/>
      <c r="H28" s="84"/>
      <c r="I28" s="84">
        <f t="shared" si="3"/>
        <v>0</v>
      </c>
      <c r="J28" s="84"/>
      <c r="K28" s="84">
        <f>1000+5000</f>
        <v>6000</v>
      </c>
      <c r="L28" s="84">
        <f t="shared" si="4"/>
        <v>6000</v>
      </c>
      <c r="M28" s="84"/>
      <c r="N28" s="84"/>
      <c r="O28" s="84">
        <f t="shared" si="5"/>
        <v>6000</v>
      </c>
      <c r="P28" s="55"/>
      <c r="Q28" s="53"/>
    </row>
    <row r="29" spans="1:17" ht="12.75">
      <c r="A29" s="11" t="s">
        <v>220</v>
      </c>
      <c r="B29" s="11"/>
      <c r="C29" s="84"/>
      <c r="D29" s="84"/>
      <c r="E29" s="84"/>
      <c r="F29" s="84">
        <f t="shared" si="2"/>
        <v>0</v>
      </c>
      <c r="G29" s="84"/>
      <c r="H29" s="84"/>
      <c r="I29" s="84">
        <f t="shared" si="3"/>
        <v>0</v>
      </c>
      <c r="J29" s="84">
        <v>74.4</v>
      </c>
      <c r="K29" s="84"/>
      <c r="L29" s="84">
        <f t="shared" si="4"/>
        <v>74.4</v>
      </c>
      <c r="M29" s="84"/>
      <c r="N29" s="84"/>
      <c r="O29" s="84">
        <f t="shared" si="5"/>
        <v>74.4</v>
      </c>
      <c r="P29" s="55"/>
      <c r="Q29" s="53">
        <f t="shared" si="0"/>
        <v>74.4</v>
      </c>
    </row>
    <row r="30" spans="1:17" ht="12.75">
      <c r="A30" s="11" t="s">
        <v>221</v>
      </c>
      <c r="B30" s="11"/>
      <c r="C30" s="84"/>
      <c r="D30" s="84"/>
      <c r="E30" s="84"/>
      <c r="F30" s="84">
        <f t="shared" si="2"/>
        <v>0</v>
      </c>
      <c r="G30" s="84">
        <f>7.8</f>
        <v>7.8</v>
      </c>
      <c r="H30" s="84"/>
      <c r="I30" s="84">
        <f t="shared" si="3"/>
        <v>7.8</v>
      </c>
      <c r="J30" s="84">
        <v>2184.4</v>
      </c>
      <c r="K30" s="84"/>
      <c r="L30" s="84">
        <f t="shared" si="4"/>
        <v>2192.2000000000003</v>
      </c>
      <c r="M30" s="84">
        <v>193.8</v>
      </c>
      <c r="N30" s="84"/>
      <c r="O30" s="84">
        <f t="shared" si="5"/>
        <v>2386.0000000000005</v>
      </c>
      <c r="P30" s="55"/>
      <c r="Q30" s="53">
        <f t="shared" si="0"/>
        <v>2386.0000000000005</v>
      </c>
    </row>
    <row r="31" spans="1:17" ht="12.75" hidden="1">
      <c r="A31" s="11" t="s">
        <v>205</v>
      </c>
      <c r="B31" s="11"/>
      <c r="C31" s="84"/>
      <c r="D31" s="84"/>
      <c r="E31" s="84"/>
      <c r="F31" s="84">
        <f t="shared" si="2"/>
        <v>0</v>
      </c>
      <c r="G31" s="84"/>
      <c r="H31" s="84"/>
      <c r="I31" s="84">
        <f t="shared" si="3"/>
        <v>0</v>
      </c>
      <c r="J31" s="84"/>
      <c r="K31" s="84"/>
      <c r="L31" s="84">
        <f t="shared" si="4"/>
        <v>0</v>
      </c>
      <c r="M31" s="84"/>
      <c r="N31" s="84"/>
      <c r="O31" s="84">
        <f t="shared" si="5"/>
        <v>0</v>
      </c>
      <c r="P31" s="55"/>
      <c r="Q31" s="53">
        <f t="shared" si="0"/>
        <v>0</v>
      </c>
    </row>
    <row r="32" spans="1:17" ht="12.75" hidden="1">
      <c r="A32" s="11" t="s">
        <v>222</v>
      </c>
      <c r="B32" s="11"/>
      <c r="C32" s="84"/>
      <c r="D32" s="84"/>
      <c r="E32" s="84"/>
      <c r="F32" s="84">
        <f t="shared" si="2"/>
        <v>0</v>
      </c>
      <c r="G32" s="84"/>
      <c r="H32" s="84"/>
      <c r="I32" s="84">
        <f t="shared" si="3"/>
        <v>0</v>
      </c>
      <c r="J32" s="84"/>
      <c r="K32" s="84"/>
      <c r="L32" s="84">
        <f t="shared" si="4"/>
        <v>0</v>
      </c>
      <c r="M32" s="84"/>
      <c r="N32" s="84"/>
      <c r="O32" s="84">
        <f t="shared" si="5"/>
        <v>0</v>
      </c>
      <c r="P32" s="55"/>
      <c r="Q32" s="53">
        <f t="shared" si="0"/>
        <v>0</v>
      </c>
    </row>
    <row r="33" spans="1:17" ht="12.75">
      <c r="A33" s="11" t="s">
        <v>383</v>
      </c>
      <c r="B33" s="11"/>
      <c r="C33" s="84"/>
      <c r="D33" s="84"/>
      <c r="E33" s="84"/>
      <c r="F33" s="84"/>
      <c r="G33" s="84"/>
      <c r="H33" s="84"/>
      <c r="I33" s="84"/>
      <c r="J33" s="84"/>
      <c r="K33" s="84"/>
      <c r="L33" s="84">
        <f t="shared" si="4"/>
        <v>0</v>
      </c>
      <c r="M33" s="84">
        <v>105.1</v>
      </c>
      <c r="N33" s="84"/>
      <c r="O33" s="84">
        <f t="shared" si="5"/>
        <v>105.1</v>
      </c>
      <c r="P33" s="55"/>
      <c r="Q33" s="53"/>
    </row>
    <row r="34" spans="1:17" ht="12.75">
      <c r="A34" s="11" t="s">
        <v>223</v>
      </c>
      <c r="B34" s="11"/>
      <c r="C34" s="84"/>
      <c r="D34" s="84"/>
      <c r="E34" s="84"/>
      <c r="F34" s="84">
        <f t="shared" si="2"/>
        <v>0</v>
      </c>
      <c r="G34" s="84">
        <v>9.3</v>
      </c>
      <c r="H34" s="84"/>
      <c r="I34" s="84">
        <f t="shared" si="3"/>
        <v>9.3</v>
      </c>
      <c r="J34" s="84"/>
      <c r="K34" s="84"/>
      <c r="L34" s="84">
        <f t="shared" si="4"/>
        <v>9.3</v>
      </c>
      <c r="M34" s="84"/>
      <c r="N34" s="84"/>
      <c r="O34" s="84">
        <f t="shared" si="5"/>
        <v>9.3</v>
      </c>
      <c r="P34" s="55"/>
      <c r="Q34" s="53">
        <f t="shared" si="0"/>
        <v>9.3</v>
      </c>
    </row>
    <row r="35" spans="1:17" ht="12.75">
      <c r="A35" s="10" t="s">
        <v>31</v>
      </c>
      <c r="B35" s="10"/>
      <c r="C35" s="84">
        <f aca="true" t="shared" si="6" ref="C35:O35">SUM(C36:C40)</f>
        <v>125051.5</v>
      </c>
      <c r="D35" s="84">
        <f t="shared" si="6"/>
        <v>0</v>
      </c>
      <c r="E35" s="84">
        <f t="shared" si="6"/>
        <v>0</v>
      </c>
      <c r="F35" s="84">
        <f t="shared" si="6"/>
        <v>125051.5</v>
      </c>
      <c r="G35" s="84">
        <f t="shared" si="6"/>
        <v>0</v>
      </c>
      <c r="H35" s="84">
        <f t="shared" si="6"/>
        <v>-2490.1</v>
      </c>
      <c r="I35" s="84">
        <f t="shared" si="6"/>
        <v>122561.4</v>
      </c>
      <c r="J35" s="84">
        <f t="shared" si="6"/>
        <v>-3312</v>
      </c>
      <c r="K35" s="84">
        <f t="shared" si="6"/>
        <v>291.5</v>
      </c>
      <c r="L35" s="84">
        <f t="shared" si="6"/>
        <v>119540.9</v>
      </c>
      <c r="M35" s="84">
        <f t="shared" si="6"/>
        <v>0</v>
      </c>
      <c r="N35" s="84">
        <f t="shared" si="6"/>
        <v>0</v>
      </c>
      <c r="O35" s="84">
        <f t="shared" si="6"/>
        <v>119540.9</v>
      </c>
      <c r="P35" s="57"/>
      <c r="Q35" s="45">
        <f>SUM(Q36:Q40)</f>
        <v>119540.9</v>
      </c>
    </row>
    <row r="36" spans="1:17" ht="12.75">
      <c r="A36" s="10" t="s">
        <v>32</v>
      </c>
      <c r="B36" s="10"/>
      <c r="C36" s="84">
        <v>41733</v>
      </c>
      <c r="D36" s="84"/>
      <c r="E36" s="84"/>
      <c r="F36" s="84">
        <f>C36+D36+E36</f>
        <v>41733</v>
      </c>
      <c r="G36" s="84"/>
      <c r="H36" s="84">
        <v>-2490.1</v>
      </c>
      <c r="I36" s="84">
        <f>F36+G36+H36</f>
        <v>39242.9</v>
      </c>
      <c r="J36" s="84"/>
      <c r="K36" s="84">
        <v>291.5</v>
      </c>
      <c r="L36" s="84">
        <f>I36+J36+K36</f>
        <v>39534.4</v>
      </c>
      <c r="M36" s="84"/>
      <c r="N36" s="84"/>
      <c r="O36" s="84">
        <f>L36+M36+N36</f>
        <v>39534.4</v>
      </c>
      <c r="P36" s="55"/>
      <c r="Q36" s="53">
        <f t="shared" si="0"/>
        <v>39534.4</v>
      </c>
    </row>
    <row r="37" spans="1:17" ht="12.75">
      <c r="A37" s="11" t="s">
        <v>224</v>
      </c>
      <c r="B37" s="11"/>
      <c r="C37" s="84">
        <v>10810</v>
      </c>
      <c r="D37" s="84"/>
      <c r="E37" s="84"/>
      <c r="F37" s="84">
        <f>C37+D37+E37</f>
        <v>10810</v>
      </c>
      <c r="G37" s="84"/>
      <c r="H37" s="84"/>
      <c r="I37" s="84">
        <f>F37+G37+H37</f>
        <v>10810</v>
      </c>
      <c r="J37" s="84"/>
      <c r="K37" s="84"/>
      <c r="L37" s="84">
        <f>I37+J37+K37</f>
        <v>10810</v>
      </c>
      <c r="M37" s="84"/>
      <c r="N37" s="84"/>
      <c r="O37" s="84">
        <f>L37+M37+N37</f>
        <v>10810</v>
      </c>
      <c r="P37" s="55"/>
      <c r="Q37" s="53">
        <f t="shared" si="0"/>
        <v>10810</v>
      </c>
    </row>
    <row r="38" spans="1:17" ht="12.75">
      <c r="A38" s="10" t="s">
        <v>33</v>
      </c>
      <c r="B38" s="10"/>
      <c r="C38" s="84">
        <v>21684</v>
      </c>
      <c r="D38" s="84"/>
      <c r="E38" s="84"/>
      <c r="F38" s="84">
        <f>C38+D38+E38</f>
        <v>21684</v>
      </c>
      <c r="G38" s="84"/>
      <c r="H38" s="84"/>
      <c r="I38" s="84">
        <f>F38+G38+H38</f>
        <v>21684</v>
      </c>
      <c r="J38" s="84">
        <v>-532</v>
      </c>
      <c r="K38" s="84"/>
      <c r="L38" s="84">
        <f>I38+J38+K38</f>
        <v>21152</v>
      </c>
      <c r="M38" s="84"/>
      <c r="N38" s="84"/>
      <c r="O38" s="84">
        <f>L38+M38+N38</f>
        <v>21152</v>
      </c>
      <c r="P38" s="55"/>
      <c r="Q38" s="53">
        <f t="shared" si="0"/>
        <v>21152</v>
      </c>
    </row>
    <row r="39" spans="1:17" ht="12.75">
      <c r="A39" s="11" t="s">
        <v>225</v>
      </c>
      <c r="B39" s="11"/>
      <c r="C39" s="84">
        <v>13408.5</v>
      </c>
      <c r="D39" s="84"/>
      <c r="E39" s="84"/>
      <c r="F39" s="84">
        <f>C39+D39+E39</f>
        <v>13408.5</v>
      </c>
      <c r="G39" s="84"/>
      <c r="H39" s="84"/>
      <c r="I39" s="84">
        <f>F39+G39+H39</f>
        <v>13408.5</v>
      </c>
      <c r="J39" s="84"/>
      <c r="K39" s="84"/>
      <c r="L39" s="84">
        <f>I39+J39+K39</f>
        <v>13408.5</v>
      </c>
      <c r="M39" s="84"/>
      <c r="N39" s="84"/>
      <c r="O39" s="84">
        <f>L39+M39+N39</f>
        <v>13408.5</v>
      </c>
      <c r="P39" s="55"/>
      <c r="Q39" s="53">
        <f t="shared" si="0"/>
        <v>13408.5</v>
      </c>
    </row>
    <row r="40" spans="1:17" ht="12.75">
      <c r="A40" s="11" t="s">
        <v>226</v>
      </c>
      <c r="B40" s="11"/>
      <c r="C40" s="84">
        <v>37416</v>
      </c>
      <c r="D40" s="84"/>
      <c r="E40" s="84"/>
      <c r="F40" s="84">
        <f>C40+D40+E40</f>
        <v>37416</v>
      </c>
      <c r="G40" s="84"/>
      <c r="H40" s="84"/>
      <c r="I40" s="84">
        <f>F40+G40+H40</f>
        <v>37416</v>
      </c>
      <c r="J40" s="84">
        <v>-2780</v>
      </c>
      <c r="K40" s="84"/>
      <c r="L40" s="84">
        <f>I40+J40+K40</f>
        <v>34636</v>
      </c>
      <c r="M40" s="84"/>
      <c r="N40" s="84"/>
      <c r="O40" s="84">
        <f>L40+M40+N40</f>
        <v>34636</v>
      </c>
      <c r="P40" s="55"/>
      <c r="Q40" s="53">
        <f t="shared" si="0"/>
        <v>34636</v>
      </c>
    </row>
    <row r="41" spans="1:17" ht="12.75">
      <c r="A41" s="12" t="s">
        <v>34</v>
      </c>
      <c r="B41" s="12"/>
      <c r="C41" s="85">
        <f aca="true" t="shared" si="7" ref="C41:O41">SUM(C43:C47)</f>
        <v>18706.6</v>
      </c>
      <c r="D41" s="85">
        <f t="shared" si="7"/>
        <v>0</v>
      </c>
      <c r="E41" s="85">
        <f t="shared" si="7"/>
        <v>0</v>
      </c>
      <c r="F41" s="85">
        <f t="shared" si="7"/>
        <v>18706.6</v>
      </c>
      <c r="G41" s="85">
        <f t="shared" si="7"/>
        <v>0</v>
      </c>
      <c r="H41" s="85">
        <f t="shared" si="7"/>
        <v>0</v>
      </c>
      <c r="I41" s="85">
        <f t="shared" si="7"/>
        <v>18706.6</v>
      </c>
      <c r="J41" s="85">
        <f t="shared" si="7"/>
        <v>19946.2</v>
      </c>
      <c r="K41" s="85">
        <f t="shared" si="7"/>
        <v>2700</v>
      </c>
      <c r="L41" s="85">
        <f t="shared" si="7"/>
        <v>41352.8</v>
      </c>
      <c r="M41" s="85">
        <f t="shared" si="7"/>
        <v>0</v>
      </c>
      <c r="N41" s="85">
        <f t="shared" si="7"/>
        <v>0</v>
      </c>
      <c r="O41" s="85">
        <f t="shared" si="7"/>
        <v>41352.8</v>
      </c>
      <c r="P41" s="58"/>
      <c r="Q41" s="7">
        <f>SUM(Q43:Q47)</f>
        <v>37838.8</v>
      </c>
    </row>
    <row r="42" spans="1:17" ht="13.5" customHeight="1">
      <c r="A42" s="9" t="s">
        <v>23</v>
      </c>
      <c r="B42" s="9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55"/>
      <c r="Q42" s="53"/>
    </row>
    <row r="43" spans="1:17" ht="12.75">
      <c r="A43" s="10" t="s">
        <v>35</v>
      </c>
      <c r="B43" s="10"/>
      <c r="C43" s="84"/>
      <c r="D43" s="84"/>
      <c r="E43" s="84"/>
      <c r="F43" s="84">
        <f>C43+D43+E43</f>
        <v>0</v>
      </c>
      <c r="G43" s="84"/>
      <c r="H43" s="84"/>
      <c r="I43" s="84">
        <f>F43+G43+H43</f>
        <v>0</v>
      </c>
      <c r="J43" s="84"/>
      <c r="K43" s="84">
        <v>2700</v>
      </c>
      <c r="L43" s="84">
        <f>I43+J43+K43</f>
        <v>2700</v>
      </c>
      <c r="M43" s="84"/>
      <c r="N43" s="84"/>
      <c r="O43" s="84">
        <f>L43+M43+N43</f>
        <v>2700</v>
      </c>
      <c r="P43" s="55"/>
      <c r="Q43" s="53">
        <f t="shared" si="0"/>
        <v>2700</v>
      </c>
    </row>
    <row r="44" spans="1:17" ht="12.75">
      <c r="A44" s="11" t="s">
        <v>227</v>
      </c>
      <c r="B44" s="11"/>
      <c r="C44" s="84">
        <v>18706.6</v>
      </c>
      <c r="D44" s="84"/>
      <c r="E44" s="84"/>
      <c r="F44" s="84">
        <f>C44+D44+E44</f>
        <v>18706.6</v>
      </c>
      <c r="G44" s="84"/>
      <c r="H44" s="84"/>
      <c r="I44" s="84">
        <f>F44+G44+H44</f>
        <v>18706.6</v>
      </c>
      <c r="J44" s="91">
        <v>16432.2</v>
      </c>
      <c r="K44" s="84"/>
      <c r="L44" s="84">
        <f>I44+J44+K44</f>
        <v>35138.8</v>
      </c>
      <c r="M44" s="91"/>
      <c r="N44" s="84"/>
      <c r="O44" s="84">
        <f>L44+M44+N44</f>
        <v>35138.8</v>
      </c>
      <c r="P44" s="55"/>
      <c r="Q44" s="53">
        <f t="shared" si="0"/>
        <v>35138.8</v>
      </c>
    </row>
    <row r="45" spans="1:17" ht="12.75" hidden="1">
      <c r="A45" s="11" t="s">
        <v>228</v>
      </c>
      <c r="B45" s="11"/>
      <c r="C45" s="84"/>
      <c r="D45" s="84"/>
      <c r="E45" s="84"/>
      <c r="F45" s="84">
        <f>C45+D45+E45</f>
        <v>0</v>
      </c>
      <c r="G45" s="84"/>
      <c r="H45" s="84"/>
      <c r="I45" s="84">
        <f>F45+G45+H45</f>
        <v>0</v>
      </c>
      <c r="J45" s="91"/>
      <c r="K45" s="84"/>
      <c r="L45" s="84">
        <f>I45+J45+K45</f>
        <v>0</v>
      </c>
      <c r="M45" s="91"/>
      <c r="N45" s="84"/>
      <c r="O45" s="84">
        <f>L45+M45+N45</f>
        <v>0</v>
      </c>
      <c r="P45" s="55"/>
      <c r="Q45" s="53">
        <f t="shared" si="0"/>
        <v>0</v>
      </c>
    </row>
    <row r="46" spans="1:17" ht="12.75">
      <c r="A46" s="11" t="s">
        <v>56</v>
      </c>
      <c r="B46" s="11"/>
      <c r="C46" s="84"/>
      <c r="D46" s="84"/>
      <c r="E46" s="84"/>
      <c r="F46" s="84"/>
      <c r="G46" s="84"/>
      <c r="H46" s="84"/>
      <c r="I46" s="84">
        <f>F46+G46+H46</f>
        <v>0</v>
      </c>
      <c r="J46" s="91">
        <v>3514</v>
      </c>
      <c r="K46" s="84"/>
      <c r="L46" s="84">
        <f>I46+J46+K46</f>
        <v>3514</v>
      </c>
      <c r="M46" s="91"/>
      <c r="N46" s="84"/>
      <c r="O46" s="84">
        <f>L46+M46+N46</f>
        <v>3514</v>
      </c>
      <c r="P46" s="55"/>
      <c r="Q46" s="53"/>
    </row>
    <row r="47" spans="1:17" ht="12.75" hidden="1">
      <c r="A47" s="10" t="s">
        <v>36</v>
      </c>
      <c r="B47" s="10"/>
      <c r="C47" s="84"/>
      <c r="D47" s="84"/>
      <c r="E47" s="84"/>
      <c r="F47" s="84">
        <f>C47+D47+E47</f>
        <v>0</v>
      </c>
      <c r="G47" s="84"/>
      <c r="H47" s="84"/>
      <c r="I47" s="84">
        <f>F47+G47+H47</f>
        <v>0</v>
      </c>
      <c r="J47" s="84"/>
      <c r="K47" s="84"/>
      <c r="L47" s="84">
        <f>I47+J47+K47</f>
        <v>0</v>
      </c>
      <c r="M47" s="84"/>
      <c r="N47" s="84"/>
      <c r="O47" s="84">
        <f>L47+M47+N47</f>
        <v>0</v>
      </c>
      <c r="P47" s="55"/>
      <c r="Q47" s="53">
        <f t="shared" si="0"/>
        <v>0</v>
      </c>
    </row>
    <row r="48" spans="1:17" ht="12.75">
      <c r="A48" s="8" t="s">
        <v>37</v>
      </c>
      <c r="B48" s="8"/>
      <c r="C48" s="83">
        <f>SUM(C50:C70)</f>
        <v>72553</v>
      </c>
      <c r="D48" s="83">
        <f aca="true" t="shared" si="8" ref="D48:O48">SUM(D50:D70)</f>
        <v>0</v>
      </c>
      <c r="E48" s="83">
        <f t="shared" si="8"/>
        <v>0</v>
      </c>
      <c r="F48" s="83">
        <f t="shared" si="8"/>
        <v>72553</v>
      </c>
      <c r="G48" s="83">
        <f t="shared" si="8"/>
        <v>4408179.4</v>
      </c>
      <c r="H48" s="83">
        <f t="shared" si="8"/>
        <v>0</v>
      </c>
      <c r="I48" s="83">
        <f t="shared" si="8"/>
        <v>4480732.4</v>
      </c>
      <c r="J48" s="83">
        <f t="shared" si="8"/>
        <v>436740.70000000007</v>
      </c>
      <c r="K48" s="83">
        <f t="shared" si="8"/>
        <v>163.3</v>
      </c>
      <c r="L48" s="83">
        <f t="shared" si="8"/>
        <v>4917636.4</v>
      </c>
      <c r="M48" s="83">
        <f t="shared" si="8"/>
        <v>201677.10000000003</v>
      </c>
      <c r="N48" s="83">
        <f t="shared" si="8"/>
        <v>0</v>
      </c>
      <c r="O48" s="83">
        <f t="shared" si="8"/>
        <v>5119313.499999999</v>
      </c>
      <c r="P48" s="56"/>
      <c r="Q48" s="38">
        <f>SUM(Q50:Q70)</f>
        <v>5118707.299999999</v>
      </c>
    </row>
    <row r="49" spans="1:17" ht="10.5" customHeight="1">
      <c r="A49" s="13" t="s">
        <v>38</v>
      </c>
      <c r="B49" s="1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55"/>
      <c r="Q49" s="53"/>
    </row>
    <row r="50" spans="1:17" ht="12.75">
      <c r="A50" s="11" t="s">
        <v>39</v>
      </c>
      <c r="B50" s="11"/>
      <c r="C50" s="84">
        <v>72303</v>
      </c>
      <c r="D50" s="84"/>
      <c r="E50" s="84"/>
      <c r="F50" s="84">
        <f>C50+D50+E50</f>
        <v>72303</v>
      </c>
      <c r="G50" s="84"/>
      <c r="H50" s="84"/>
      <c r="I50" s="84">
        <f>F50+G50+H50</f>
        <v>72303</v>
      </c>
      <c r="J50" s="84"/>
      <c r="K50" s="84"/>
      <c r="L50" s="84">
        <f>I50+J50+K50</f>
        <v>72303</v>
      </c>
      <c r="M50" s="84"/>
      <c r="N50" s="84"/>
      <c r="O50" s="84">
        <f>L50+M50+N50</f>
        <v>72303</v>
      </c>
      <c r="P50" s="55"/>
      <c r="Q50" s="53">
        <f t="shared" si="0"/>
        <v>72303</v>
      </c>
    </row>
    <row r="51" spans="1:17" ht="12.75">
      <c r="A51" s="11" t="s">
        <v>40</v>
      </c>
      <c r="B51" s="11"/>
      <c r="C51" s="84"/>
      <c r="D51" s="84"/>
      <c r="E51" s="84"/>
      <c r="F51" s="84">
        <f aca="true" t="shared" si="9" ref="F51:F70">C51+D51+E51</f>
        <v>0</v>
      </c>
      <c r="G51" s="84">
        <f>100+20.1+139.7</f>
        <v>259.79999999999995</v>
      </c>
      <c r="H51" s="84"/>
      <c r="I51" s="84">
        <f aca="true" t="shared" si="10" ref="I51:I70">F51+G51+H51</f>
        <v>259.79999999999995</v>
      </c>
      <c r="J51" s="84">
        <f>180.3+15+353.6+92.9+61.5+764.7</f>
        <v>1468</v>
      </c>
      <c r="K51" s="84"/>
      <c r="L51" s="84">
        <f aca="true" t="shared" si="11" ref="L51:L70">I51+J51+K51</f>
        <v>1727.8</v>
      </c>
      <c r="M51" s="84">
        <f>239.2+30000+15+77.9+56.7</f>
        <v>30388.800000000003</v>
      </c>
      <c r="N51" s="84"/>
      <c r="O51" s="84">
        <f aca="true" t="shared" si="12" ref="O51:O70">L51+M51+N51</f>
        <v>32116.600000000002</v>
      </c>
      <c r="P51" s="55"/>
      <c r="Q51" s="53">
        <f t="shared" si="0"/>
        <v>32116.600000000002</v>
      </c>
    </row>
    <row r="52" spans="1:17" ht="12.75">
      <c r="A52" s="11" t="s">
        <v>41</v>
      </c>
      <c r="B52" s="11"/>
      <c r="C52" s="84"/>
      <c r="D52" s="84"/>
      <c r="E52" s="84"/>
      <c r="F52" s="84">
        <f t="shared" si="9"/>
        <v>0</v>
      </c>
      <c r="G52" s="84">
        <f>48790+2320.8+1373+144+11750.2+8044.1+233.7+5119.4+838.7+3968.6+1445.4+1853.5+4299489+1292+11943.3</f>
        <v>4398605.7</v>
      </c>
      <c r="H52" s="84"/>
      <c r="I52" s="84">
        <f t="shared" si="10"/>
        <v>4398605.7</v>
      </c>
      <c r="J52" s="84">
        <f>1316.3+5993.1+7.9+3172.3+746.6+354+385.1+48160+4206.7+330+26.7+9608.9+296.7+3582.6+22274.8</f>
        <v>100461.7</v>
      </c>
      <c r="K52" s="84">
        <v>163.3</v>
      </c>
      <c r="L52" s="84">
        <f t="shared" si="11"/>
        <v>4499230.7</v>
      </c>
      <c r="M52" s="84">
        <f>1186.3+549.3+863.6+916.8+2983.6+2638.3+389.3+2529.8+1787.3+48470+562.5+150.4+4365.9+7585+100+1082.2-70.2+1752.1+2290.3+1239.5+121.4+1668.5+1121.5+3025.8+2237.2+2675.8-309.5+80.1</f>
        <v>91992.80000000002</v>
      </c>
      <c r="N52" s="84"/>
      <c r="O52" s="84">
        <f t="shared" si="12"/>
        <v>4591223.5</v>
      </c>
      <c r="P52" s="55"/>
      <c r="Q52" s="53">
        <f t="shared" si="0"/>
        <v>4591223.5</v>
      </c>
    </row>
    <row r="53" spans="1:17" ht="12.75">
      <c r="A53" s="11" t="s">
        <v>42</v>
      </c>
      <c r="B53" s="11"/>
      <c r="C53" s="84"/>
      <c r="D53" s="84"/>
      <c r="E53" s="84"/>
      <c r="F53" s="84">
        <f t="shared" si="9"/>
        <v>0</v>
      </c>
      <c r="G53" s="84">
        <f>3662.5+648.4</f>
        <v>4310.9</v>
      </c>
      <c r="H53" s="84"/>
      <c r="I53" s="84">
        <f t="shared" si="10"/>
        <v>4310.9</v>
      </c>
      <c r="J53" s="84">
        <f>1434.8+389+4120.9+11187.6+1264.7+33000+332.4+1452.5+12000</f>
        <v>65181.9</v>
      </c>
      <c r="K53" s="84"/>
      <c r="L53" s="84">
        <f t="shared" si="11"/>
        <v>69492.8</v>
      </c>
      <c r="M53" s="84">
        <f>3500+12+373.2</f>
        <v>3885.2</v>
      </c>
      <c r="N53" s="84"/>
      <c r="O53" s="84">
        <f t="shared" si="12"/>
        <v>73378</v>
      </c>
      <c r="P53" s="55"/>
      <c r="Q53" s="53">
        <f t="shared" si="0"/>
        <v>73378</v>
      </c>
    </row>
    <row r="54" spans="1:17" ht="12.75">
      <c r="A54" s="11" t="s">
        <v>43</v>
      </c>
      <c r="B54" s="11"/>
      <c r="C54" s="84"/>
      <c r="D54" s="84"/>
      <c r="E54" s="84"/>
      <c r="F54" s="84">
        <f t="shared" si="9"/>
        <v>0</v>
      </c>
      <c r="G54" s="84"/>
      <c r="H54" s="84"/>
      <c r="I54" s="84">
        <f t="shared" si="10"/>
        <v>0</v>
      </c>
      <c r="J54" s="84">
        <f>9.2+514.4</f>
        <v>523.6</v>
      </c>
      <c r="K54" s="84"/>
      <c r="L54" s="84">
        <f t="shared" si="11"/>
        <v>523.6</v>
      </c>
      <c r="M54" s="84">
        <f>6.3+6.1+187.6+57.5</f>
        <v>257.5</v>
      </c>
      <c r="N54" s="84"/>
      <c r="O54" s="84">
        <f t="shared" si="12"/>
        <v>781.1</v>
      </c>
      <c r="P54" s="55"/>
      <c r="Q54" s="53">
        <f t="shared" si="0"/>
        <v>781.1</v>
      </c>
    </row>
    <row r="55" spans="1:17" ht="12.75">
      <c r="A55" s="11" t="s">
        <v>44</v>
      </c>
      <c r="B55" s="11"/>
      <c r="C55" s="84"/>
      <c r="D55" s="84"/>
      <c r="E55" s="84"/>
      <c r="F55" s="84">
        <f t="shared" si="9"/>
        <v>0</v>
      </c>
      <c r="G55" s="84"/>
      <c r="H55" s="84"/>
      <c r="I55" s="84">
        <f t="shared" si="10"/>
        <v>0</v>
      </c>
      <c r="J55" s="84"/>
      <c r="K55" s="84"/>
      <c r="L55" s="84">
        <f t="shared" si="11"/>
        <v>0</v>
      </c>
      <c r="M55" s="84">
        <f>325+348</f>
        <v>673</v>
      </c>
      <c r="N55" s="84"/>
      <c r="O55" s="84">
        <f t="shared" si="12"/>
        <v>673</v>
      </c>
      <c r="P55" s="55"/>
      <c r="Q55" s="53">
        <f t="shared" si="0"/>
        <v>673</v>
      </c>
    </row>
    <row r="56" spans="1:17" ht="12.75">
      <c r="A56" s="11" t="s">
        <v>45</v>
      </c>
      <c r="B56" s="11"/>
      <c r="C56" s="84"/>
      <c r="D56" s="84"/>
      <c r="E56" s="84"/>
      <c r="F56" s="84">
        <f t="shared" si="9"/>
        <v>0</v>
      </c>
      <c r="G56" s="84"/>
      <c r="H56" s="84"/>
      <c r="I56" s="84">
        <f t="shared" si="10"/>
        <v>0</v>
      </c>
      <c r="J56" s="84">
        <f>30+5529.5</f>
        <v>5559.5</v>
      </c>
      <c r="K56" s="84"/>
      <c r="L56" s="84">
        <f t="shared" si="11"/>
        <v>5559.5</v>
      </c>
      <c r="M56" s="84">
        <f>100</f>
        <v>100</v>
      </c>
      <c r="N56" s="84"/>
      <c r="O56" s="84">
        <f t="shared" si="12"/>
        <v>5659.5</v>
      </c>
      <c r="P56" s="55"/>
      <c r="Q56" s="53">
        <f t="shared" si="0"/>
        <v>5659.5</v>
      </c>
    </row>
    <row r="57" spans="1:17" ht="12.75">
      <c r="A57" s="11" t="s">
        <v>46</v>
      </c>
      <c r="B57" s="11"/>
      <c r="C57" s="84"/>
      <c r="D57" s="84"/>
      <c r="E57" s="84"/>
      <c r="F57" s="84">
        <f t="shared" si="9"/>
        <v>0</v>
      </c>
      <c r="G57" s="84">
        <v>5003</v>
      </c>
      <c r="H57" s="84"/>
      <c r="I57" s="84">
        <f t="shared" si="10"/>
        <v>5003</v>
      </c>
      <c r="J57" s="84">
        <f>448+131+52.7</f>
        <v>631.7</v>
      </c>
      <c r="K57" s="84"/>
      <c r="L57" s="84">
        <f t="shared" si="11"/>
        <v>5634.7</v>
      </c>
      <c r="M57" s="84">
        <f>2323.9+517</f>
        <v>2840.9</v>
      </c>
      <c r="N57" s="84"/>
      <c r="O57" s="84">
        <f t="shared" si="12"/>
        <v>8475.6</v>
      </c>
      <c r="P57" s="55"/>
      <c r="Q57" s="53">
        <f t="shared" si="0"/>
        <v>8475.6</v>
      </c>
    </row>
    <row r="58" spans="1:17" ht="12.75">
      <c r="A58" s="11" t="s">
        <v>195</v>
      </c>
      <c r="B58" s="11"/>
      <c r="C58" s="84"/>
      <c r="D58" s="84"/>
      <c r="E58" s="84"/>
      <c r="F58" s="84">
        <f t="shared" si="9"/>
        <v>0</v>
      </c>
      <c r="G58" s="84"/>
      <c r="H58" s="84"/>
      <c r="I58" s="84">
        <f t="shared" si="10"/>
        <v>0</v>
      </c>
      <c r="J58" s="84">
        <v>254603</v>
      </c>
      <c r="K58" s="84"/>
      <c r="L58" s="84">
        <f t="shared" si="11"/>
        <v>254603</v>
      </c>
      <c r="M58" s="84"/>
      <c r="N58" s="84"/>
      <c r="O58" s="84">
        <f t="shared" si="12"/>
        <v>254603</v>
      </c>
      <c r="P58" s="55"/>
      <c r="Q58" s="53">
        <f t="shared" si="0"/>
        <v>254603</v>
      </c>
    </row>
    <row r="59" spans="1:17" ht="12.75" hidden="1">
      <c r="A59" s="11" t="s">
        <v>233</v>
      </c>
      <c r="B59" s="11"/>
      <c r="C59" s="84"/>
      <c r="D59" s="84"/>
      <c r="E59" s="84"/>
      <c r="F59" s="84">
        <f t="shared" si="9"/>
        <v>0</v>
      </c>
      <c r="G59" s="84"/>
      <c r="H59" s="84"/>
      <c r="I59" s="84">
        <f t="shared" si="10"/>
        <v>0</v>
      </c>
      <c r="J59" s="84"/>
      <c r="K59" s="84"/>
      <c r="L59" s="84">
        <f t="shared" si="11"/>
        <v>0</v>
      </c>
      <c r="M59" s="84"/>
      <c r="N59" s="84"/>
      <c r="O59" s="84">
        <f t="shared" si="12"/>
        <v>0</v>
      </c>
      <c r="P59" s="55"/>
      <c r="Q59" s="53">
        <f t="shared" si="0"/>
        <v>0</v>
      </c>
    </row>
    <row r="60" spans="1:17" ht="12.75">
      <c r="A60" s="11" t="s">
        <v>339</v>
      </c>
      <c r="B60" s="11"/>
      <c r="C60" s="84"/>
      <c r="D60" s="84"/>
      <c r="E60" s="84"/>
      <c r="F60" s="84"/>
      <c r="G60" s="84"/>
      <c r="H60" s="84"/>
      <c r="I60" s="84">
        <f t="shared" si="10"/>
        <v>0</v>
      </c>
      <c r="J60" s="84">
        <v>500</v>
      </c>
      <c r="K60" s="84"/>
      <c r="L60" s="84">
        <f t="shared" si="11"/>
        <v>500</v>
      </c>
      <c r="M60" s="84"/>
      <c r="N60" s="84"/>
      <c r="O60" s="84">
        <f t="shared" si="12"/>
        <v>500</v>
      </c>
      <c r="P60" s="55"/>
      <c r="Q60" s="53"/>
    </row>
    <row r="61" spans="1:17" ht="12.75">
      <c r="A61" s="11" t="s">
        <v>47</v>
      </c>
      <c r="B61" s="11"/>
      <c r="C61" s="84"/>
      <c r="D61" s="84"/>
      <c r="E61" s="84"/>
      <c r="F61" s="84">
        <f t="shared" si="9"/>
        <v>0</v>
      </c>
      <c r="G61" s="84"/>
      <c r="H61" s="84"/>
      <c r="I61" s="84">
        <f t="shared" si="10"/>
        <v>0</v>
      </c>
      <c r="J61" s="84">
        <f>154.5</f>
        <v>154.5</v>
      </c>
      <c r="K61" s="84"/>
      <c r="L61" s="84">
        <f t="shared" si="11"/>
        <v>154.5</v>
      </c>
      <c r="M61" s="84">
        <f>739.3+305.9</f>
        <v>1045.1999999999998</v>
      </c>
      <c r="N61" s="84"/>
      <c r="O61" s="84">
        <f t="shared" si="12"/>
        <v>1199.6999999999998</v>
      </c>
      <c r="P61" s="70"/>
      <c r="Q61" s="53">
        <f t="shared" si="0"/>
        <v>1199.6999999999998</v>
      </c>
    </row>
    <row r="62" spans="1:17" ht="12.75">
      <c r="A62" s="11" t="s">
        <v>48</v>
      </c>
      <c r="B62" s="11"/>
      <c r="C62" s="84"/>
      <c r="D62" s="84"/>
      <c r="E62" s="84"/>
      <c r="F62" s="84">
        <f t="shared" si="9"/>
        <v>0</v>
      </c>
      <c r="G62" s="84"/>
      <c r="H62" s="84"/>
      <c r="I62" s="84">
        <f t="shared" si="10"/>
        <v>0</v>
      </c>
      <c r="J62" s="91">
        <f>92+250</f>
        <v>342</v>
      </c>
      <c r="K62" s="84"/>
      <c r="L62" s="84">
        <f t="shared" si="11"/>
        <v>342</v>
      </c>
      <c r="M62" s="84"/>
      <c r="N62" s="84"/>
      <c r="O62" s="84">
        <f t="shared" si="12"/>
        <v>342</v>
      </c>
      <c r="P62" s="55"/>
      <c r="Q62" s="53">
        <f t="shared" si="0"/>
        <v>342</v>
      </c>
    </row>
    <row r="63" spans="1:17" ht="12.75" hidden="1">
      <c r="A63" s="11" t="s">
        <v>234</v>
      </c>
      <c r="B63" s="11"/>
      <c r="C63" s="84"/>
      <c r="D63" s="84"/>
      <c r="E63" s="84"/>
      <c r="F63" s="84">
        <f t="shared" si="9"/>
        <v>0</v>
      </c>
      <c r="G63" s="84"/>
      <c r="H63" s="84"/>
      <c r="I63" s="84">
        <f t="shared" si="10"/>
        <v>0</v>
      </c>
      <c r="J63" s="91"/>
      <c r="K63" s="84"/>
      <c r="L63" s="84">
        <f t="shared" si="11"/>
        <v>0</v>
      </c>
      <c r="M63" s="84"/>
      <c r="N63" s="84"/>
      <c r="O63" s="84">
        <f t="shared" si="12"/>
        <v>0</v>
      </c>
      <c r="P63" s="55"/>
      <c r="Q63" s="53">
        <f t="shared" si="0"/>
        <v>0</v>
      </c>
    </row>
    <row r="64" spans="1:17" ht="12.75" hidden="1">
      <c r="A64" s="11" t="s">
        <v>49</v>
      </c>
      <c r="B64" s="11"/>
      <c r="C64" s="84"/>
      <c r="D64" s="84"/>
      <c r="E64" s="84"/>
      <c r="F64" s="84">
        <f t="shared" si="9"/>
        <v>0</v>
      </c>
      <c r="G64" s="84"/>
      <c r="H64" s="84"/>
      <c r="I64" s="84">
        <f t="shared" si="10"/>
        <v>0</v>
      </c>
      <c r="J64" s="84"/>
      <c r="K64" s="84"/>
      <c r="L64" s="84">
        <f t="shared" si="11"/>
        <v>0</v>
      </c>
      <c r="M64" s="84"/>
      <c r="N64" s="84"/>
      <c r="O64" s="84">
        <f t="shared" si="12"/>
        <v>0</v>
      </c>
      <c r="P64" s="55"/>
      <c r="Q64" s="53">
        <f t="shared" si="0"/>
        <v>0</v>
      </c>
    </row>
    <row r="65" spans="1:17" ht="12.75">
      <c r="A65" s="11" t="s">
        <v>60</v>
      </c>
      <c r="B65" s="11"/>
      <c r="C65" s="84"/>
      <c r="D65" s="84"/>
      <c r="E65" s="84"/>
      <c r="F65" s="84">
        <f t="shared" si="9"/>
        <v>0</v>
      </c>
      <c r="G65" s="84"/>
      <c r="H65" s="84"/>
      <c r="I65" s="84">
        <f t="shared" si="10"/>
        <v>0</v>
      </c>
      <c r="J65" s="84">
        <f>965.9+2145.2+757.2+1286.6</f>
        <v>5154.9</v>
      </c>
      <c r="K65" s="84"/>
      <c r="L65" s="84">
        <f t="shared" si="11"/>
        <v>5154.9</v>
      </c>
      <c r="M65" s="84">
        <f>117.1+1432.5+1328.5+107+1082+57.1</f>
        <v>4124.2</v>
      </c>
      <c r="N65" s="84"/>
      <c r="O65" s="84">
        <f t="shared" si="12"/>
        <v>9279.099999999999</v>
      </c>
      <c r="P65" s="55"/>
      <c r="Q65" s="53">
        <f t="shared" si="0"/>
        <v>9279.099999999999</v>
      </c>
    </row>
    <row r="66" spans="1:17" ht="12.75">
      <c r="A66" s="11" t="s">
        <v>50</v>
      </c>
      <c r="B66" s="11"/>
      <c r="C66" s="84"/>
      <c r="D66" s="84"/>
      <c r="E66" s="84"/>
      <c r="F66" s="84">
        <f t="shared" si="9"/>
        <v>0</v>
      </c>
      <c r="G66" s="84"/>
      <c r="H66" s="84"/>
      <c r="I66" s="84">
        <f t="shared" si="10"/>
        <v>0</v>
      </c>
      <c r="J66" s="84"/>
      <c r="K66" s="84"/>
      <c r="L66" s="84">
        <f t="shared" si="11"/>
        <v>0</v>
      </c>
      <c r="M66" s="84">
        <f>65793</f>
        <v>65793</v>
      </c>
      <c r="N66" s="84"/>
      <c r="O66" s="84">
        <f t="shared" si="12"/>
        <v>65793</v>
      </c>
      <c r="P66" s="55"/>
      <c r="Q66" s="53">
        <f t="shared" si="0"/>
        <v>65793</v>
      </c>
    </row>
    <row r="67" spans="1:17" ht="12.75">
      <c r="A67" s="11" t="s">
        <v>51</v>
      </c>
      <c r="B67" s="11"/>
      <c r="C67" s="84"/>
      <c r="D67" s="84"/>
      <c r="E67" s="84"/>
      <c r="F67" s="84">
        <f t="shared" si="9"/>
        <v>0</v>
      </c>
      <c r="G67" s="84"/>
      <c r="H67" s="84"/>
      <c r="I67" s="84">
        <f t="shared" si="10"/>
        <v>0</v>
      </c>
      <c r="J67" s="84"/>
      <c r="K67" s="84"/>
      <c r="L67" s="84">
        <f t="shared" si="11"/>
        <v>0</v>
      </c>
      <c r="M67" s="84">
        <f>291.3</f>
        <v>291.3</v>
      </c>
      <c r="N67" s="84"/>
      <c r="O67" s="84">
        <f t="shared" si="12"/>
        <v>291.3</v>
      </c>
      <c r="P67" s="55"/>
      <c r="Q67" s="53">
        <f t="shared" si="0"/>
        <v>291.3</v>
      </c>
    </row>
    <row r="68" spans="1:17" ht="12.75">
      <c r="A68" s="11" t="s">
        <v>52</v>
      </c>
      <c r="B68" s="11"/>
      <c r="C68" s="84">
        <v>250</v>
      </c>
      <c r="D68" s="84"/>
      <c r="E68" s="84"/>
      <c r="F68" s="84">
        <f t="shared" si="9"/>
        <v>250</v>
      </c>
      <c r="G68" s="84"/>
      <c r="H68" s="84"/>
      <c r="I68" s="84">
        <f t="shared" si="10"/>
        <v>250</v>
      </c>
      <c r="J68" s="84">
        <v>2159.9</v>
      </c>
      <c r="K68" s="84"/>
      <c r="L68" s="84">
        <f t="shared" si="11"/>
        <v>2409.9</v>
      </c>
      <c r="M68" s="84">
        <f>120.2+58.8</f>
        <v>179</v>
      </c>
      <c r="N68" s="84"/>
      <c r="O68" s="84">
        <f t="shared" si="12"/>
        <v>2588.9</v>
      </c>
      <c r="P68" s="55"/>
      <c r="Q68" s="53">
        <f t="shared" si="0"/>
        <v>2588.9</v>
      </c>
    </row>
    <row r="69" spans="1:17" ht="12.75">
      <c r="A69" s="11" t="s">
        <v>384</v>
      </c>
      <c r="B69" s="11"/>
      <c r="C69" s="84"/>
      <c r="D69" s="84"/>
      <c r="E69" s="84"/>
      <c r="F69" s="84"/>
      <c r="G69" s="84"/>
      <c r="H69" s="84"/>
      <c r="I69" s="84"/>
      <c r="J69" s="84"/>
      <c r="K69" s="84"/>
      <c r="L69" s="84">
        <f t="shared" si="11"/>
        <v>0</v>
      </c>
      <c r="M69" s="84">
        <v>106.2</v>
      </c>
      <c r="N69" s="84"/>
      <c r="O69" s="84">
        <f t="shared" si="12"/>
        <v>106.2</v>
      </c>
      <c r="P69" s="55"/>
      <c r="Q69" s="53"/>
    </row>
    <row r="70" spans="1:17" ht="12.75" hidden="1">
      <c r="A70" s="11" t="s">
        <v>247</v>
      </c>
      <c r="B70" s="11"/>
      <c r="C70" s="84"/>
      <c r="D70" s="84"/>
      <c r="E70" s="84"/>
      <c r="F70" s="84">
        <f t="shared" si="9"/>
        <v>0</v>
      </c>
      <c r="G70" s="84"/>
      <c r="H70" s="84"/>
      <c r="I70" s="84">
        <f t="shared" si="10"/>
        <v>0</v>
      </c>
      <c r="J70" s="84"/>
      <c r="K70" s="84"/>
      <c r="L70" s="84">
        <f t="shared" si="11"/>
        <v>0</v>
      </c>
      <c r="M70" s="84"/>
      <c r="N70" s="84"/>
      <c r="O70" s="84">
        <f t="shared" si="12"/>
        <v>0</v>
      </c>
      <c r="P70" s="55"/>
      <c r="Q70" s="53">
        <f t="shared" si="0"/>
        <v>0</v>
      </c>
    </row>
    <row r="71" spans="1:17" ht="12.75" hidden="1">
      <c r="A71" s="12" t="s">
        <v>53</v>
      </c>
      <c r="B71" s="12"/>
      <c r="C71" s="85">
        <f>SUM(C73:C75)</f>
        <v>0</v>
      </c>
      <c r="D71" s="85">
        <f>SUM(D73:D75)</f>
        <v>0</v>
      </c>
      <c r="E71" s="85"/>
      <c r="F71" s="85">
        <f>SUM(F73:F75)</f>
        <v>0</v>
      </c>
      <c r="G71" s="85">
        <f>SUM(G73:G75)</f>
        <v>0</v>
      </c>
      <c r="H71" s="85">
        <f>SUM(H73:H75)</f>
        <v>0</v>
      </c>
      <c r="I71" s="85">
        <f>SUM(I73:I75)</f>
        <v>0</v>
      </c>
      <c r="J71" s="85"/>
      <c r="K71" s="85"/>
      <c r="L71" s="85">
        <f>SUM(L73:L75)</f>
        <v>0</v>
      </c>
      <c r="M71" s="85">
        <f>SUM(M73:M75)</f>
        <v>0</v>
      </c>
      <c r="N71" s="85">
        <f>SUM(N73:N75)</f>
        <v>0</v>
      </c>
      <c r="O71" s="85">
        <f>SUM(O73:O75)</f>
        <v>0</v>
      </c>
      <c r="P71" s="58"/>
      <c r="Q71" s="7">
        <f>SUM(Q73:Q75)</f>
        <v>0</v>
      </c>
    </row>
    <row r="72" spans="1:17" ht="12.75" hidden="1">
      <c r="A72" s="9" t="s">
        <v>38</v>
      </c>
      <c r="B72" s="9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>
        <f>L72+M72+N72</f>
        <v>0</v>
      </c>
      <c r="P72" s="55"/>
      <c r="Q72" s="53"/>
    </row>
    <row r="73" spans="1:17" ht="12.75" hidden="1">
      <c r="A73" s="11" t="s">
        <v>54</v>
      </c>
      <c r="B73" s="11"/>
      <c r="C73" s="84"/>
      <c r="D73" s="84"/>
      <c r="E73" s="84"/>
      <c r="F73" s="84">
        <f>C73+D73+E73</f>
        <v>0</v>
      </c>
      <c r="G73" s="84"/>
      <c r="H73" s="84"/>
      <c r="I73" s="84">
        <f>F73+G73+H73</f>
        <v>0</v>
      </c>
      <c r="J73" s="84"/>
      <c r="K73" s="84"/>
      <c r="L73" s="84">
        <f>I73+J73+K73</f>
        <v>0</v>
      </c>
      <c r="M73" s="84"/>
      <c r="N73" s="84"/>
      <c r="O73" s="84">
        <f>L73+M73+N73</f>
        <v>0</v>
      </c>
      <c r="P73" s="55"/>
      <c r="Q73" s="53">
        <f t="shared" si="0"/>
        <v>0</v>
      </c>
    </row>
    <row r="74" spans="1:17" ht="12.75" hidden="1">
      <c r="A74" s="11" t="s">
        <v>55</v>
      </c>
      <c r="B74" s="11"/>
      <c r="C74" s="84"/>
      <c r="D74" s="84"/>
      <c r="E74" s="84"/>
      <c r="F74" s="84">
        <f>C74+D74+E74</f>
        <v>0</v>
      </c>
      <c r="G74" s="84"/>
      <c r="H74" s="84"/>
      <c r="I74" s="84">
        <f>F74+G74+H74</f>
        <v>0</v>
      </c>
      <c r="J74" s="84"/>
      <c r="K74" s="84"/>
      <c r="L74" s="84">
        <f>I74+J74+K74</f>
        <v>0</v>
      </c>
      <c r="M74" s="84"/>
      <c r="N74" s="84"/>
      <c r="O74" s="84">
        <f>L74+M74+N74</f>
        <v>0</v>
      </c>
      <c r="P74" s="55"/>
      <c r="Q74" s="53">
        <f t="shared" si="0"/>
        <v>0</v>
      </c>
    </row>
    <row r="75" spans="1:17" ht="12.75" hidden="1">
      <c r="A75" s="11" t="s">
        <v>56</v>
      </c>
      <c r="B75" s="11"/>
      <c r="C75" s="84"/>
      <c r="D75" s="84"/>
      <c r="E75" s="84"/>
      <c r="F75" s="84">
        <f>C75+D75+E75</f>
        <v>0</v>
      </c>
      <c r="G75" s="84"/>
      <c r="H75" s="84"/>
      <c r="I75" s="84">
        <f>F75+G75+H75</f>
        <v>0</v>
      </c>
      <c r="J75" s="84"/>
      <c r="K75" s="84"/>
      <c r="L75" s="84">
        <f>I75+J75+K75</f>
        <v>0</v>
      </c>
      <c r="M75" s="84"/>
      <c r="N75" s="84"/>
      <c r="O75" s="84">
        <f>L75+M75+N75</f>
        <v>0</v>
      </c>
      <c r="P75" s="55"/>
      <c r="Q75" s="53">
        <f t="shared" si="0"/>
        <v>0</v>
      </c>
    </row>
    <row r="76" spans="1:17" ht="12.75">
      <c r="A76" s="8" t="s">
        <v>57</v>
      </c>
      <c r="B76" s="8"/>
      <c r="C76" s="83">
        <f>SUM(C78:C90)</f>
        <v>0</v>
      </c>
      <c r="D76" s="83">
        <f aca="true" t="shared" si="13" ref="D76:O76">SUM(D78:D90)</f>
        <v>0</v>
      </c>
      <c r="E76" s="83">
        <f t="shared" si="13"/>
        <v>0</v>
      </c>
      <c r="F76" s="83">
        <f t="shared" si="13"/>
        <v>0</v>
      </c>
      <c r="G76" s="83">
        <f t="shared" si="13"/>
        <v>30308.699999999997</v>
      </c>
      <c r="H76" s="83">
        <f t="shared" si="13"/>
        <v>0</v>
      </c>
      <c r="I76" s="83">
        <f t="shared" si="13"/>
        <v>30308.699999999997</v>
      </c>
      <c r="J76" s="83">
        <f t="shared" si="13"/>
        <v>40284.3</v>
      </c>
      <c r="K76" s="83">
        <f t="shared" si="13"/>
        <v>0</v>
      </c>
      <c r="L76" s="83">
        <f t="shared" si="13"/>
        <v>70593</v>
      </c>
      <c r="M76" s="83">
        <f t="shared" si="13"/>
        <v>84317.6</v>
      </c>
      <c r="N76" s="83">
        <f t="shared" si="13"/>
        <v>0</v>
      </c>
      <c r="O76" s="83">
        <f t="shared" si="13"/>
        <v>154910.6</v>
      </c>
      <c r="P76" s="56"/>
      <c r="Q76" s="38">
        <f>SUM(Q78:Q89)</f>
        <v>149910.6</v>
      </c>
    </row>
    <row r="77" spans="1:17" ht="12.75">
      <c r="A77" s="13" t="s">
        <v>38</v>
      </c>
      <c r="B77" s="1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55"/>
      <c r="Q77" s="53"/>
    </row>
    <row r="78" spans="1:17" ht="12.75">
      <c r="A78" s="11" t="s">
        <v>41</v>
      </c>
      <c r="B78" s="11"/>
      <c r="C78" s="84"/>
      <c r="D78" s="84"/>
      <c r="E78" s="84"/>
      <c r="F78" s="84">
        <f>C78+D78+E78</f>
        <v>0</v>
      </c>
      <c r="G78" s="84">
        <v>26.1</v>
      </c>
      <c r="H78" s="84"/>
      <c r="I78" s="84">
        <f>F78+G78+H78</f>
        <v>26.1</v>
      </c>
      <c r="J78" s="84">
        <f>16889.5</f>
        <v>16889.5</v>
      </c>
      <c r="K78" s="84"/>
      <c r="L78" s="84">
        <f>I78+J78+K78</f>
        <v>16915.6</v>
      </c>
      <c r="M78" s="84"/>
      <c r="N78" s="84"/>
      <c r="O78" s="84">
        <f>L78+M78+N78</f>
        <v>16915.6</v>
      </c>
      <c r="P78" s="55"/>
      <c r="Q78" s="53">
        <f t="shared" si="0"/>
        <v>16915.6</v>
      </c>
    </row>
    <row r="79" spans="1:17" ht="12.75">
      <c r="A79" s="15" t="s">
        <v>42</v>
      </c>
      <c r="B79" s="15"/>
      <c r="C79" s="84"/>
      <c r="D79" s="84"/>
      <c r="E79" s="84"/>
      <c r="F79" s="84">
        <f aca="true" t="shared" si="14" ref="F79:F89">C79+D79+E79</f>
        <v>0</v>
      </c>
      <c r="G79" s="84"/>
      <c r="H79" s="84"/>
      <c r="I79" s="84">
        <f aca="true" t="shared" si="15" ref="I79:I89">F79+G79+H79</f>
        <v>0</v>
      </c>
      <c r="J79" s="84">
        <v>48</v>
      </c>
      <c r="K79" s="84"/>
      <c r="L79" s="84">
        <f aca="true" t="shared" si="16" ref="L79:L90">I79+J79+K79</f>
        <v>48</v>
      </c>
      <c r="M79" s="84">
        <v>24</v>
      </c>
      <c r="N79" s="84"/>
      <c r="O79" s="84">
        <f aca="true" t="shared" si="17" ref="O79:O90">L79+M79+N79</f>
        <v>72</v>
      </c>
      <c r="P79" s="55"/>
      <c r="Q79" s="53">
        <f t="shared" si="0"/>
        <v>72</v>
      </c>
    </row>
    <row r="80" spans="1:17" ht="12.75" hidden="1">
      <c r="A80" s="15" t="s">
        <v>40</v>
      </c>
      <c r="B80" s="15"/>
      <c r="C80" s="84"/>
      <c r="D80" s="84"/>
      <c r="E80" s="84"/>
      <c r="F80" s="84">
        <f t="shared" si="14"/>
        <v>0</v>
      </c>
      <c r="G80" s="84"/>
      <c r="H80" s="84"/>
      <c r="I80" s="84">
        <f t="shared" si="15"/>
        <v>0</v>
      </c>
      <c r="J80" s="84"/>
      <c r="K80" s="84"/>
      <c r="L80" s="84">
        <f t="shared" si="16"/>
        <v>0</v>
      </c>
      <c r="M80" s="84"/>
      <c r="N80" s="84"/>
      <c r="O80" s="84">
        <f t="shared" si="17"/>
        <v>0</v>
      </c>
      <c r="P80" s="55"/>
      <c r="Q80" s="53">
        <f t="shared" si="0"/>
        <v>0</v>
      </c>
    </row>
    <row r="81" spans="1:17" ht="12.75">
      <c r="A81" s="15" t="s">
        <v>58</v>
      </c>
      <c r="B81" s="15"/>
      <c r="C81" s="84"/>
      <c r="D81" s="84"/>
      <c r="E81" s="84"/>
      <c r="F81" s="84">
        <f t="shared" si="14"/>
        <v>0</v>
      </c>
      <c r="G81" s="84"/>
      <c r="H81" s="84"/>
      <c r="I81" s="84">
        <f t="shared" si="15"/>
        <v>0</v>
      </c>
      <c r="J81" s="84"/>
      <c r="K81" s="84"/>
      <c r="L81" s="84">
        <f t="shared" si="16"/>
        <v>0</v>
      </c>
      <c r="M81" s="84">
        <v>30000</v>
      </c>
      <c r="N81" s="84"/>
      <c r="O81" s="84">
        <f t="shared" si="17"/>
        <v>30000</v>
      </c>
      <c r="P81" s="55"/>
      <c r="Q81" s="53">
        <f t="shared" si="0"/>
        <v>30000</v>
      </c>
    </row>
    <row r="82" spans="1:17" ht="12.75">
      <c r="A82" s="11" t="s">
        <v>43</v>
      </c>
      <c r="B82" s="11"/>
      <c r="C82" s="84"/>
      <c r="D82" s="84"/>
      <c r="E82" s="84"/>
      <c r="F82" s="84">
        <f t="shared" si="14"/>
        <v>0</v>
      </c>
      <c r="G82" s="84"/>
      <c r="H82" s="84"/>
      <c r="I82" s="84">
        <f t="shared" si="15"/>
        <v>0</v>
      </c>
      <c r="J82" s="84"/>
      <c r="K82" s="84"/>
      <c r="L82" s="84">
        <f t="shared" si="16"/>
        <v>0</v>
      </c>
      <c r="M82" s="84">
        <f>1975+25373.5</f>
        <v>27348.5</v>
      </c>
      <c r="N82" s="84"/>
      <c r="O82" s="84">
        <f t="shared" si="17"/>
        <v>27348.5</v>
      </c>
      <c r="P82" s="55"/>
      <c r="Q82" s="53">
        <f aca="true" t="shared" si="18" ref="Q82:Q152">O82+P82</f>
        <v>27348.5</v>
      </c>
    </row>
    <row r="83" spans="1:17" ht="12.75">
      <c r="A83" s="11" t="s">
        <v>233</v>
      </c>
      <c r="B83" s="11"/>
      <c r="C83" s="84"/>
      <c r="D83" s="84"/>
      <c r="E83" s="84"/>
      <c r="F83" s="84">
        <f t="shared" si="14"/>
        <v>0</v>
      </c>
      <c r="G83" s="84"/>
      <c r="H83" s="84"/>
      <c r="I83" s="84">
        <f t="shared" si="15"/>
        <v>0</v>
      </c>
      <c r="J83" s="84">
        <v>2105.9</v>
      </c>
      <c r="K83" s="84"/>
      <c r="L83" s="84">
        <f t="shared" si="16"/>
        <v>2105.9</v>
      </c>
      <c r="M83" s="84">
        <v>1956.1</v>
      </c>
      <c r="N83" s="84"/>
      <c r="O83" s="84">
        <f t="shared" si="17"/>
        <v>4062</v>
      </c>
      <c r="P83" s="55"/>
      <c r="Q83" s="53">
        <f t="shared" si="18"/>
        <v>4062</v>
      </c>
    </row>
    <row r="84" spans="1:17" ht="12.75">
      <c r="A84" s="11" t="s">
        <v>234</v>
      </c>
      <c r="B84" s="11"/>
      <c r="C84" s="84"/>
      <c r="D84" s="84"/>
      <c r="E84" s="84"/>
      <c r="F84" s="84">
        <f t="shared" si="14"/>
        <v>0</v>
      </c>
      <c r="G84" s="84"/>
      <c r="H84" s="84"/>
      <c r="I84" s="84">
        <f t="shared" si="15"/>
        <v>0</v>
      </c>
      <c r="J84" s="84">
        <v>123.9</v>
      </c>
      <c r="K84" s="84"/>
      <c r="L84" s="84">
        <f t="shared" si="16"/>
        <v>123.9</v>
      </c>
      <c r="M84" s="84"/>
      <c r="N84" s="84"/>
      <c r="O84" s="84">
        <f t="shared" si="17"/>
        <v>123.9</v>
      </c>
      <c r="P84" s="55"/>
      <c r="Q84" s="53">
        <f t="shared" si="18"/>
        <v>123.9</v>
      </c>
    </row>
    <row r="85" spans="1:17" ht="12.75" hidden="1">
      <c r="A85" s="11" t="s">
        <v>59</v>
      </c>
      <c r="B85" s="11"/>
      <c r="C85" s="84"/>
      <c r="D85" s="84"/>
      <c r="E85" s="84"/>
      <c r="F85" s="84">
        <f t="shared" si="14"/>
        <v>0</v>
      </c>
      <c r="G85" s="84"/>
      <c r="H85" s="84"/>
      <c r="I85" s="84">
        <f t="shared" si="15"/>
        <v>0</v>
      </c>
      <c r="J85" s="84"/>
      <c r="K85" s="84"/>
      <c r="L85" s="84">
        <f t="shared" si="16"/>
        <v>0</v>
      </c>
      <c r="M85" s="84"/>
      <c r="N85" s="84"/>
      <c r="O85" s="84">
        <f t="shared" si="17"/>
        <v>0</v>
      </c>
      <c r="P85" s="55"/>
      <c r="Q85" s="53">
        <f t="shared" si="18"/>
        <v>0</v>
      </c>
    </row>
    <row r="86" spans="1:17" ht="12.75">
      <c r="A86" s="11" t="s">
        <v>60</v>
      </c>
      <c r="B86" s="11"/>
      <c r="C86" s="84"/>
      <c r="D86" s="84"/>
      <c r="E86" s="84"/>
      <c r="F86" s="84">
        <f t="shared" si="14"/>
        <v>0</v>
      </c>
      <c r="G86" s="84">
        <f>8766.9+12341.2+9174.5</f>
        <v>30282.6</v>
      </c>
      <c r="H86" s="84"/>
      <c r="I86" s="84">
        <f t="shared" si="15"/>
        <v>30282.6</v>
      </c>
      <c r="J86" s="84">
        <f>2199.3+1777.1+7239.5+732.6+9168.5</f>
        <v>21117</v>
      </c>
      <c r="K86" s="84"/>
      <c r="L86" s="84">
        <f t="shared" si="16"/>
        <v>51399.6</v>
      </c>
      <c r="M86" s="84">
        <f>192.5+4361.8+7083+1823.8+6527.9</f>
        <v>19989</v>
      </c>
      <c r="N86" s="84"/>
      <c r="O86" s="84">
        <f t="shared" si="17"/>
        <v>71388.6</v>
      </c>
      <c r="P86" s="55"/>
      <c r="Q86" s="53">
        <f t="shared" si="18"/>
        <v>71388.6</v>
      </c>
    </row>
    <row r="87" spans="1:17" ht="12.75" hidden="1">
      <c r="A87" s="11" t="s">
        <v>61</v>
      </c>
      <c r="B87" s="11"/>
      <c r="C87" s="84"/>
      <c r="D87" s="84"/>
      <c r="E87" s="84"/>
      <c r="F87" s="84">
        <f t="shared" si="14"/>
        <v>0</v>
      </c>
      <c r="G87" s="84"/>
      <c r="H87" s="84"/>
      <c r="I87" s="84">
        <f t="shared" si="15"/>
        <v>0</v>
      </c>
      <c r="J87" s="84"/>
      <c r="K87" s="84"/>
      <c r="L87" s="84">
        <f t="shared" si="16"/>
        <v>0</v>
      </c>
      <c r="M87" s="84"/>
      <c r="N87" s="84"/>
      <c r="O87" s="84">
        <f t="shared" si="17"/>
        <v>0</v>
      </c>
      <c r="P87" s="55"/>
      <c r="Q87" s="53">
        <f t="shared" si="18"/>
        <v>0</v>
      </c>
    </row>
    <row r="88" spans="1:17" ht="12.75" hidden="1">
      <c r="A88" s="11" t="s">
        <v>47</v>
      </c>
      <c r="B88" s="11"/>
      <c r="C88" s="84"/>
      <c r="D88" s="84"/>
      <c r="E88" s="84"/>
      <c r="F88" s="84">
        <f t="shared" si="14"/>
        <v>0</v>
      </c>
      <c r="G88" s="84"/>
      <c r="H88" s="84"/>
      <c r="I88" s="84">
        <f t="shared" si="15"/>
        <v>0</v>
      </c>
      <c r="J88" s="84"/>
      <c r="K88" s="84"/>
      <c r="L88" s="84">
        <f t="shared" si="16"/>
        <v>0</v>
      </c>
      <c r="M88" s="84"/>
      <c r="N88" s="84"/>
      <c r="O88" s="84">
        <f t="shared" si="17"/>
        <v>0</v>
      </c>
      <c r="P88" s="70"/>
      <c r="Q88" s="53">
        <f t="shared" si="18"/>
        <v>0</v>
      </c>
    </row>
    <row r="89" spans="1:17" ht="12.75" hidden="1">
      <c r="A89" s="11" t="s">
        <v>62</v>
      </c>
      <c r="B89" s="11"/>
      <c r="C89" s="84"/>
      <c r="D89" s="84"/>
      <c r="E89" s="84"/>
      <c r="F89" s="84">
        <f t="shared" si="14"/>
        <v>0</v>
      </c>
      <c r="G89" s="84"/>
      <c r="H89" s="84"/>
      <c r="I89" s="84">
        <f t="shared" si="15"/>
        <v>0</v>
      </c>
      <c r="J89" s="84"/>
      <c r="K89" s="84"/>
      <c r="L89" s="84">
        <f t="shared" si="16"/>
        <v>0</v>
      </c>
      <c r="M89" s="84"/>
      <c r="N89" s="84"/>
      <c r="O89" s="84">
        <f t="shared" si="17"/>
        <v>0</v>
      </c>
      <c r="P89" s="55"/>
      <c r="Q89" s="53">
        <f t="shared" si="18"/>
        <v>0</v>
      </c>
    </row>
    <row r="90" spans="1:17" ht="12.75">
      <c r="A90" s="14" t="s">
        <v>247</v>
      </c>
      <c r="B90" s="14"/>
      <c r="C90" s="88"/>
      <c r="D90" s="88"/>
      <c r="E90" s="88"/>
      <c r="F90" s="88"/>
      <c r="G90" s="88"/>
      <c r="H90" s="88"/>
      <c r="I90" s="88"/>
      <c r="J90" s="88"/>
      <c r="K90" s="88"/>
      <c r="L90" s="88">
        <f t="shared" si="16"/>
        <v>0</v>
      </c>
      <c r="M90" s="88">
        <v>5000</v>
      </c>
      <c r="N90" s="88"/>
      <c r="O90" s="88">
        <f t="shared" si="17"/>
        <v>5000</v>
      </c>
      <c r="P90" s="55"/>
      <c r="Q90" s="53"/>
    </row>
    <row r="91" spans="1:17" ht="12.75">
      <c r="A91" s="12" t="s">
        <v>63</v>
      </c>
      <c r="B91" s="12"/>
      <c r="C91" s="85">
        <f>SUM(C93:C96)</f>
        <v>0</v>
      </c>
      <c r="D91" s="85"/>
      <c r="E91" s="85"/>
      <c r="F91" s="85">
        <f>SUM(F93:F96)</f>
        <v>0</v>
      </c>
      <c r="G91" s="85">
        <f>SUM(G93:G96)</f>
        <v>0</v>
      </c>
      <c r="H91" s="85">
        <f>SUM(H93:H96)</f>
        <v>0</v>
      </c>
      <c r="I91" s="85">
        <f>SUM(I93:I96)</f>
        <v>0</v>
      </c>
      <c r="J91" s="85"/>
      <c r="K91" s="85"/>
      <c r="L91" s="85">
        <f>SUM(L93:L96)</f>
        <v>0</v>
      </c>
      <c r="M91" s="85">
        <f>SUM(M93:M96)</f>
        <v>4076.6</v>
      </c>
      <c r="N91" s="85">
        <f>SUM(N93:N96)</f>
        <v>0</v>
      </c>
      <c r="O91" s="85">
        <f>SUM(O93:O96)</f>
        <v>4076.6</v>
      </c>
      <c r="P91" s="58"/>
      <c r="Q91" s="7">
        <f>SUM(Q93:Q96)</f>
        <v>0</v>
      </c>
    </row>
    <row r="92" spans="1:17" ht="12.75">
      <c r="A92" s="9" t="s">
        <v>38</v>
      </c>
      <c r="B92" s="9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55"/>
      <c r="Q92" s="53"/>
    </row>
    <row r="93" spans="1:17" ht="12.75" hidden="1">
      <c r="A93" s="11" t="s">
        <v>64</v>
      </c>
      <c r="B93" s="11"/>
      <c r="C93" s="84"/>
      <c r="D93" s="84"/>
      <c r="E93" s="84"/>
      <c r="F93" s="84">
        <f>C93+D93+E93</f>
        <v>0</v>
      </c>
      <c r="G93" s="84"/>
      <c r="H93" s="84"/>
      <c r="I93" s="84">
        <f>F93+G93+H93</f>
        <v>0</v>
      </c>
      <c r="J93" s="84"/>
      <c r="K93" s="84"/>
      <c r="L93" s="84">
        <f>I93+J93+K93</f>
        <v>0</v>
      </c>
      <c r="M93" s="84"/>
      <c r="N93" s="84"/>
      <c r="O93" s="84">
        <f>L93+M93+N93</f>
        <v>0</v>
      </c>
      <c r="P93" s="55"/>
      <c r="Q93" s="53">
        <f t="shared" si="18"/>
        <v>0</v>
      </c>
    </row>
    <row r="94" spans="1:17" ht="12.75">
      <c r="A94" s="11" t="s">
        <v>371</v>
      </c>
      <c r="B94" s="11">
        <v>13899</v>
      </c>
      <c r="C94" s="84"/>
      <c r="D94" s="84"/>
      <c r="E94" s="84"/>
      <c r="F94" s="84"/>
      <c r="G94" s="84"/>
      <c r="H94" s="84"/>
      <c r="I94" s="84"/>
      <c r="J94" s="84"/>
      <c r="K94" s="84"/>
      <c r="L94" s="84">
        <f>I94+J94+K94</f>
        <v>0</v>
      </c>
      <c r="M94" s="84">
        <v>4076.6</v>
      </c>
      <c r="N94" s="84"/>
      <c r="O94" s="84">
        <f>L94+M94+N94</f>
        <v>4076.6</v>
      </c>
      <c r="P94" s="55"/>
      <c r="Q94" s="53"/>
    </row>
    <row r="95" spans="1:17" ht="12.75" hidden="1">
      <c r="A95" s="11" t="s">
        <v>35</v>
      </c>
      <c r="B95" s="11"/>
      <c r="C95" s="84"/>
      <c r="D95" s="84"/>
      <c r="E95" s="84"/>
      <c r="F95" s="84">
        <f>C95+D95+E95</f>
        <v>0</v>
      </c>
      <c r="G95" s="84"/>
      <c r="H95" s="84"/>
      <c r="I95" s="84">
        <f>F95+G95+H95</f>
        <v>0</v>
      </c>
      <c r="J95" s="84"/>
      <c r="K95" s="84"/>
      <c r="L95" s="84">
        <f>I95+J95+K95</f>
        <v>0</v>
      </c>
      <c r="M95" s="84"/>
      <c r="N95" s="84"/>
      <c r="O95" s="84">
        <f>L95+M95+N95</f>
        <v>0</v>
      </c>
      <c r="P95" s="55"/>
      <c r="Q95" s="53">
        <f t="shared" si="18"/>
        <v>0</v>
      </c>
    </row>
    <row r="96" spans="1:17" ht="12.75" hidden="1">
      <c r="A96" s="11" t="s">
        <v>55</v>
      </c>
      <c r="B96" s="11"/>
      <c r="C96" s="84"/>
      <c r="D96" s="84"/>
      <c r="E96" s="84"/>
      <c r="F96" s="84">
        <f>C96+D96+E96</f>
        <v>0</v>
      </c>
      <c r="G96" s="84"/>
      <c r="H96" s="84"/>
      <c r="I96" s="84">
        <f>F96+G96+H96</f>
        <v>0</v>
      </c>
      <c r="J96" s="84"/>
      <c r="K96" s="84"/>
      <c r="L96" s="84">
        <f>I96+J96+K96</f>
        <v>0</v>
      </c>
      <c r="M96" s="84"/>
      <c r="N96" s="84"/>
      <c r="O96" s="84">
        <f>L96+M96+N96</f>
        <v>0</v>
      </c>
      <c r="P96" s="55"/>
      <c r="Q96" s="53">
        <f t="shared" si="18"/>
        <v>0</v>
      </c>
    </row>
    <row r="97" spans="1:17" ht="12.75">
      <c r="A97" s="12" t="s">
        <v>65</v>
      </c>
      <c r="B97" s="12"/>
      <c r="C97" s="85"/>
      <c r="D97" s="85"/>
      <c r="E97" s="85"/>
      <c r="F97" s="85">
        <f>C97+D97+E97</f>
        <v>0</v>
      </c>
      <c r="G97" s="85">
        <v>660</v>
      </c>
      <c r="H97" s="85"/>
      <c r="I97" s="85">
        <f>F97+G97+H97</f>
        <v>660</v>
      </c>
      <c r="J97" s="85">
        <f>1792.1+2122.9+533.1+487.8+393+678.1</f>
        <v>6007.000000000001</v>
      </c>
      <c r="K97" s="85">
        <f>3495.7-23.3</f>
        <v>3472.3999999999996</v>
      </c>
      <c r="L97" s="85">
        <f>I97+J97+K97</f>
        <v>10139.400000000001</v>
      </c>
      <c r="M97" s="85"/>
      <c r="N97" s="85"/>
      <c r="O97" s="85">
        <f>L97+M97+N97</f>
        <v>10139.400000000001</v>
      </c>
      <c r="P97" s="55"/>
      <c r="Q97" s="52">
        <f t="shared" si="18"/>
        <v>10139.400000000001</v>
      </c>
    </row>
    <row r="98" spans="1:17" ht="15.75" thickBot="1">
      <c r="A98" s="16" t="s">
        <v>66</v>
      </c>
      <c r="B98" s="16"/>
      <c r="C98" s="86">
        <f>C11+C14+C48+C97+C76+C41+C91</f>
        <v>3334394.5</v>
      </c>
      <c r="D98" s="86">
        <f>D11+D14+D48+D97+D76+D41</f>
        <v>0</v>
      </c>
      <c r="E98" s="86">
        <f>E11+E14+E48+E97+E76+E41</f>
        <v>0</v>
      </c>
      <c r="F98" s="86">
        <f>F11+F14+F48+F97+F76+F41</f>
        <v>3334394.5</v>
      </c>
      <c r="G98" s="86">
        <f>G11+G14+G48+G97+G76+G41</f>
        <v>4461077.500000001</v>
      </c>
      <c r="H98" s="86">
        <f>H11+H14+H48+H97+H76+H41</f>
        <v>-2490.1</v>
      </c>
      <c r="I98" s="86">
        <f aca="true" t="shared" si="19" ref="I98:O98">I11+I14+I48+I97+I76+I41+I91</f>
        <v>7792981.9</v>
      </c>
      <c r="J98" s="86">
        <f t="shared" si="19"/>
        <v>506778.4000000001</v>
      </c>
      <c r="K98" s="86">
        <f t="shared" si="19"/>
        <v>12627.2</v>
      </c>
      <c r="L98" s="86">
        <f t="shared" si="19"/>
        <v>8312387.500000001</v>
      </c>
      <c r="M98" s="86">
        <f t="shared" si="19"/>
        <v>310866.2</v>
      </c>
      <c r="N98" s="86">
        <f t="shared" si="19"/>
        <v>0</v>
      </c>
      <c r="O98" s="86">
        <f t="shared" si="19"/>
        <v>8623253.7</v>
      </c>
      <c r="P98" s="59"/>
      <c r="Q98" s="48">
        <f>Q11+Q14+Q48+Q97+Q76+Q41+Q91</f>
        <v>8603951.8</v>
      </c>
    </row>
    <row r="99" spans="1:17" ht="12.75">
      <c r="A99" s="8" t="s">
        <v>67</v>
      </c>
      <c r="B99" s="8"/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55"/>
      <c r="Q99" s="53"/>
    </row>
    <row r="100" spans="1:17" ht="12.75">
      <c r="A100" s="8" t="s">
        <v>68</v>
      </c>
      <c r="B100" s="8"/>
      <c r="C100" s="83">
        <f aca="true" t="shared" si="20" ref="C100:I100">C101+C114</f>
        <v>38874</v>
      </c>
      <c r="D100" s="83">
        <f t="shared" si="20"/>
        <v>0</v>
      </c>
      <c r="E100" s="83">
        <f t="shared" si="20"/>
        <v>0</v>
      </c>
      <c r="F100" s="83">
        <f t="shared" si="20"/>
        <v>38874</v>
      </c>
      <c r="G100" s="83">
        <f t="shared" si="20"/>
        <v>1947.6</v>
      </c>
      <c r="H100" s="83">
        <f t="shared" si="20"/>
        <v>0</v>
      </c>
      <c r="I100" s="83">
        <f t="shared" si="20"/>
        <v>40821.6</v>
      </c>
      <c r="J100" s="83">
        <f aca="true" t="shared" si="21" ref="J100:O100">J101+J114</f>
        <v>1395.4</v>
      </c>
      <c r="K100" s="83">
        <f t="shared" si="21"/>
        <v>5000</v>
      </c>
      <c r="L100" s="83">
        <f t="shared" si="21"/>
        <v>47217</v>
      </c>
      <c r="M100" s="83">
        <f t="shared" si="21"/>
        <v>28400</v>
      </c>
      <c r="N100" s="83">
        <f t="shared" si="21"/>
        <v>0</v>
      </c>
      <c r="O100" s="83">
        <f t="shared" si="21"/>
        <v>75617</v>
      </c>
      <c r="P100" s="56"/>
      <c r="Q100" s="38">
        <f>Q101+Q114</f>
        <v>44641.6</v>
      </c>
    </row>
    <row r="101" spans="1:17" ht="12.75">
      <c r="A101" s="17" t="s">
        <v>69</v>
      </c>
      <c r="B101" s="17"/>
      <c r="C101" s="87">
        <f aca="true" t="shared" si="22" ref="C101:L101">SUM(C103:C113)</f>
        <v>38874</v>
      </c>
      <c r="D101" s="87">
        <f t="shared" si="22"/>
        <v>0</v>
      </c>
      <c r="E101" s="87">
        <f t="shared" si="22"/>
        <v>0</v>
      </c>
      <c r="F101" s="87">
        <f t="shared" si="22"/>
        <v>38874</v>
      </c>
      <c r="G101" s="87">
        <f t="shared" si="22"/>
        <v>1947.6</v>
      </c>
      <c r="H101" s="87">
        <f t="shared" si="22"/>
        <v>0</v>
      </c>
      <c r="I101" s="87">
        <f t="shared" si="22"/>
        <v>40821.6</v>
      </c>
      <c r="J101" s="87">
        <f t="shared" si="22"/>
        <v>1395.4</v>
      </c>
      <c r="K101" s="87">
        <f t="shared" si="22"/>
        <v>5000</v>
      </c>
      <c r="L101" s="87">
        <f t="shared" si="22"/>
        <v>47217</v>
      </c>
      <c r="M101" s="87">
        <f>SUM(M103:M113)</f>
        <v>28400</v>
      </c>
      <c r="N101" s="87">
        <f>SUM(N103:N113)</f>
        <v>0</v>
      </c>
      <c r="O101" s="87">
        <f>SUM(O103:O113)</f>
        <v>75617</v>
      </c>
      <c r="P101" s="60"/>
      <c r="Q101" s="39">
        <f>SUM(Q103:Q113)</f>
        <v>44641.6</v>
      </c>
    </row>
    <row r="102" spans="1:17" ht="10.5" customHeight="1">
      <c r="A102" s="13" t="s">
        <v>38</v>
      </c>
      <c r="B102" s="1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55"/>
      <c r="Q102" s="53"/>
    </row>
    <row r="103" spans="1:17" ht="12.75">
      <c r="A103" s="11" t="s">
        <v>186</v>
      </c>
      <c r="B103" s="11"/>
      <c r="C103" s="84">
        <v>17328</v>
      </c>
      <c r="D103" s="84"/>
      <c r="E103" s="84"/>
      <c r="F103" s="84">
        <f>C103+D103</f>
        <v>17328</v>
      </c>
      <c r="G103" s="84"/>
      <c r="H103" s="84"/>
      <c r="I103" s="84">
        <f aca="true" t="shared" si="23" ref="I103:I113">F103+G103+H103</f>
        <v>17328</v>
      </c>
      <c r="J103" s="84"/>
      <c r="K103" s="84"/>
      <c r="L103" s="84">
        <f aca="true" t="shared" si="24" ref="L103:L113">I103+J103+K103</f>
        <v>17328</v>
      </c>
      <c r="M103" s="84"/>
      <c r="N103" s="84"/>
      <c r="O103" s="84">
        <f aca="true" t="shared" si="25" ref="O103:O113">L103+M103+N103</f>
        <v>17328</v>
      </c>
      <c r="P103" s="55"/>
      <c r="Q103" s="53">
        <f t="shared" si="18"/>
        <v>17328</v>
      </c>
    </row>
    <row r="104" spans="1:17" ht="12.75">
      <c r="A104" s="11" t="s">
        <v>70</v>
      </c>
      <c r="B104" s="11"/>
      <c r="C104" s="84">
        <v>4446</v>
      </c>
      <c r="D104" s="84"/>
      <c r="E104" s="84"/>
      <c r="F104" s="84">
        <f>C104+D104</f>
        <v>4446</v>
      </c>
      <c r="G104" s="84"/>
      <c r="H104" s="84"/>
      <c r="I104" s="84">
        <f t="shared" si="23"/>
        <v>4446</v>
      </c>
      <c r="J104" s="84"/>
      <c r="K104" s="84"/>
      <c r="L104" s="84">
        <f t="shared" si="24"/>
        <v>4446</v>
      </c>
      <c r="M104" s="84"/>
      <c r="N104" s="84"/>
      <c r="O104" s="84">
        <f t="shared" si="25"/>
        <v>4446</v>
      </c>
      <c r="P104" s="55"/>
      <c r="Q104" s="53">
        <f t="shared" si="18"/>
        <v>4446</v>
      </c>
    </row>
    <row r="105" spans="1:17" ht="12.75">
      <c r="A105" s="11" t="s">
        <v>71</v>
      </c>
      <c r="B105" s="11"/>
      <c r="C105" s="84">
        <v>1300</v>
      </c>
      <c r="D105" s="84"/>
      <c r="E105" s="84"/>
      <c r="F105" s="84">
        <f>C105+D105+E105</f>
        <v>1300</v>
      </c>
      <c r="G105" s="84"/>
      <c r="H105" s="84"/>
      <c r="I105" s="84">
        <f t="shared" si="23"/>
        <v>1300</v>
      </c>
      <c r="J105" s="84"/>
      <c r="K105" s="84"/>
      <c r="L105" s="84">
        <f t="shared" si="24"/>
        <v>1300</v>
      </c>
      <c r="M105" s="84"/>
      <c r="N105" s="84"/>
      <c r="O105" s="84">
        <f t="shared" si="25"/>
        <v>1300</v>
      </c>
      <c r="P105" s="55"/>
      <c r="Q105" s="53">
        <f t="shared" si="18"/>
        <v>1300</v>
      </c>
    </row>
    <row r="106" spans="1:17" ht="12.75" hidden="1">
      <c r="A106" s="11" t="s">
        <v>240</v>
      </c>
      <c r="B106" s="11"/>
      <c r="C106" s="84"/>
      <c r="D106" s="84"/>
      <c r="E106" s="84"/>
      <c r="F106" s="84">
        <f>C106+D106+E106</f>
        <v>0</v>
      </c>
      <c r="G106" s="84"/>
      <c r="H106" s="84"/>
      <c r="I106" s="84">
        <f t="shared" si="23"/>
        <v>0</v>
      </c>
      <c r="J106" s="84"/>
      <c r="K106" s="84"/>
      <c r="L106" s="84">
        <f t="shared" si="24"/>
        <v>0</v>
      </c>
      <c r="M106" s="84"/>
      <c r="N106" s="84"/>
      <c r="O106" s="84">
        <f t="shared" si="25"/>
        <v>0</v>
      </c>
      <c r="P106" s="55"/>
      <c r="Q106" s="53">
        <f t="shared" si="18"/>
        <v>0</v>
      </c>
    </row>
    <row r="107" spans="1:17" ht="12.75">
      <c r="A107" s="11" t="s">
        <v>241</v>
      </c>
      <c r="B107" s="11"/>
      <c r="C107" s="84"/>
      <c r="D107" s="84"/>
      <c r="E107" s="84"/>
      <c r="F107" s="84">
        <f>C107+D107+E107</f>
        <v>0</v>
      </c>
      <c r="G107" s="84"/>
      <c r="H107" s="84"/>
      <c r="I107" s="84">
        <f t="shared" si="23"/>
        <v>0</v>
      </c>
      <c r="J107" s="84">
        <v>1000</v>
      </c>
      <c r="K107" s="84"/>
      <c r="L107" s="84">
        <f t="shared" si="24"/>
        <v>1000</v>
      </c>
      <c r="M107" s="84"/>
      <c r="N107" s="84"/>
      <c r="O107" s="84">
        <f t="shared" si="25"/>
        <v>1000</v>
      </c>
      <c r="P107" s="55"/>
      <c r="Q107" s="53">
        <f t="shared" si="18"/>
        <v>1000</v>
      </c>
    </row>
    <row r="108" spans="1:17" ht="12.75">
      <c r="A108" s="11" t="s">
        <v>340</v>
      </c>
      <c r="B108" s="11">
        <v>6001</v>
      </c>
      <c r="C108" s="84"/>
      <c r="D108" s="84"/>
      <c r="E108" s="84"/>
      <c r="F108" s="84"/>
      <c r="G108" s="84"/>
      <c r="H108" s="84"/>
      <c r="I108" s="84">
        <f t="shared" si="23"/>
        <v>0</v>
      </c>
      <c r="J108" s="84">
        <v>500</v>
      </c>
      <c r="K108" s="84"/>
      <c r="L108" s="84">
        <f t="shared" si="24"/>
        <v>500</v>
      </c>
      <c r="M108" s="84"/>
      <c r="N108" s="84"/>
      <c r="O108" s="84">
        <f t="shared" si="25"/>
        <v>500</v>
      </c>
      <c r="P108" s="55"/>
      <c r="Q108" s="53"/>
    </row>
    <row r="109" spans="1:17" ht="12.75">
      <c r="A109" s="11" t="s">
        <v>72</v>
      </c>
      <c r="B109" s="11"/>
      <c r="C109" s="84">
        <v>7700</v>
      </c>
      <c r="D109" s="84"/>
      <c r="E109" s="84"/>
      <c r="F109" s="84">
        <f>C109+D109+E109</f>
        <v>7700</v>
      </c>
      <c r="G109" s="84">
        <f>447.6+1500</f>
        <v>1947.6</v>
      </c>
      <c r="H109" s="84"/>
      <c r="I109" s="84">
        <f t="shared" si="23"/>
        <v>9647.6</v>
      </c>
      <c r="J109" s="84">
        <f>120-700</f>
        <v>-580</v>
      </c>
      <c r="K109" s="84"/>
      <c r="L109" s="84">
        <f t="shared" si="24"/>
        <v>9067.6</v>
      </c>
      <c r="M109" s="84">
        <v>200</v>
      </c>
      <c r="N109" s="84"/>
      <c r="O109" s="84">
        <f t="shared" si="25"/>
        <v>9267.6</v>
      </c>
      <c r="P109" s="55"/>
      <c r="Q109" s="53">
        <f t="shared" si="18"/>
        <v>9267.6</v>
      </c>
    </row>
    <row r="110" spans="1:17" ht="12.75">
      <c r="A110" s="11" t="s">
        <v>103</v>
      </c>
      <c r="B110" s="11"/>
      <c r="C110" s="84"/>
      <c r="D110" s="84"/>
      <c r="E110" s="84"/>
      <c r="F110" s="84"/>
      <c r="G110" s="84"/>
      <c r="H110" s="84"/>
      <c r="I110" s="84">
        <f t="shared" si="23"/>
        <v>0</v>
      </c>
      <c r="J110" s="84">
        <f>443.7+31.7</f>
        <v>475.4</v>
      </c>
      <c r="K110" s="84"/>
      <c r="L110" s="84">
        <f t="shared" si="24"/>
        <v>475.4</v>
      </c>
      <c r="M110" s="84"/>
      <c r="N110" s="84"/>
      <c r="O110" s="84">
        <f t="shared" si="25"/>
        <v>475.4</v>
      </c>
      <c r="P110" s="55"/>
      <c r="Q110" s="53"/>
    </row>
    <row r="111" spans="1:17" ht="12.75">
      <c r="A111" s="11" t="s">
        <v>365</v>
      </c>
      <c r="B111" s="11">
        <v>98011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>
        <f t="shared" si="24"/>
        <v>0</v>
      </c>
      <c r="M111" s="84">
        <v>30000</v>
      </c>
      <c r="N111" s="84"/>
      <c r="O111" s="84">
        <f t="shared" si="25"/>
        <v>30000</v>
      </c>
      <c r="P111" s="55"/>
      <c r="Q111" s="53"/>
    </row>
    <row r="112" spans="1:17" ht="12.75">
      <c r="A112" s="11" t="s">
        <v>73</v>
      </c>
      <c r="B112" s="11"/>
      <c r="C112" s="84">
        <v>500</v>
      </c>
      <c r="D112" s="84"/>
      <c r="E112" s="84"/>
      <c r="F112" s="84">
        <f>SUM(C112:E112)</f>
        <v>500</v>
      </c>
      <c r="G112" s="84"/>
      <c r="H112" s="84"/>
      <c r="I112" s="84">
        <f t="shared" si="23"/>
        <v>500</v>
      </c>
      <c r="J112" s="84"/>
      <c r="K112" s="84">
        <v>5000</v>
      </c>
      <c r="L112" s="84">
        <f t="shared" si="24"/>
        <v>5500</v>
      </c>
      <c r="M112" s="84">
        <v>-3000</v>
      </c>
      <c r="N112" s="84"/>
      <c r="O112" s="84">
        <f t="shared" si="25"/>
        <v>2500</v>
      </c>
      <c r="P112" s="55"/>
      <c r="Q112" s="53">
        <f t="shared" si="18"/>
        <v>2500</v>
      </c>
    </row>
    <row r="113" spans="1:17" ht="12.75">
      <c r="A113" s="14" t="s">
        <v>74</v>
      </c>
      <c r="B113" s="14"/>
      <c r="C113" s="88">
        <v>7600</v>
      </c>
      <c r="D113" s="88"/>
      <c r="E113" s="88"/>
      <c r="F113" s="88">
        <f>SUM(C113:E113)</f>
        <v>7600</v>
      </c>
      <c r="G113" s="88"/>
      <c r="H113" s="88"/>
      <c r="I113" s="88">
        <f t="shared" si="23"/>
        <v>7600</v>
      </c>
      <c r="J113" s="88"/>
      <c r="K113" s="88"/>
      <c r="L113" s="88">
        <f t="shared" si="24"/>
        <v>7600</v>
      </c>
      <c r="M113" s="88">
        <f>200+1000</f>
        <v>1200</v>
      </c>
      <c r="N113" s="88"/>
      <c r="O113" s="88">
        <f t="shared" si="25"/>
        <v>8800</v>
      </c>
      <c r="P113" s="55"/>
      <c r="Q113" s="53">
        <f t="shared" si="18"/>
        <v>8800</v>
      </c>
    </row>
    <row r="114" spans="1:17" ht="12.75" hidden="1">
      <c r="A114" s="18" t="s">
        <v>75</v>
      </c>
      <c r="B114" s="18"/>
      <c r="C114" s="89">
        <f>SUM(C116:C119)</f>
        <v>0</v>
      </c>
      <c r="D114" s="89">
        <f>SUM(D116:D119)</f>
        <v>0</v>
      </c>
      <c r="E114" s="89"/>
      <c r="F114" s="89">
        <f>SUM(F116:F119)</f>
        <v>0</v>
      </c>
      <c r="G114" s="89">
        <f>SUM(G116:G119)</f>
        <v>0</v>
      </c>
      <c r="H114" s="89">
        <f>SUM(H116:H119)</f>
        <v>0</v>
      </c>
      <c r="I114" s="89">
        <f>SUM(I116:I119)</f>
        <v>0</v>
      </c>
      <c r="J114" s="89">
        <f>SUM(J116:J119)</f>
        <v>0</v>
      </c>
      <c r="K114" s="89"/>
      <c r="L114" s="89">
        <f>SUM(L116:L119)</f>
        <v>0</v>
      </c>
      <c r="M114" s="89">
        <f>SUM(M116:M119)</f>
        <v>0</v>
      </c>
      <c r="N114" s="89">
        <f>SUM(N116:N119)</f>
        <v>0</v>
      </c>
      <c r="O114" s="89">
        <f>SUM(O116:O119)</f>
        <v>0</v>
      </c>
      <c r="P114" s="61"/>
      <c r="Q114" s="49">
        <f>SUM(Q116:Q119)</f>
        <v>0</v>
      </c>
    </row>
    <row r="115" spans="1:17" ht="11.25" customHeight="1" hidden="1">
      <c r="A115" s="9" t="s">
        <v>38</v>
      </c>
      <c r="B115" s="9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55"/>
      <c r="Q115" s="53"/>
    </row>
    <row r="116" spans="1:17" ht="12.75" hidden="1">
      <c r="A116" s="11" t="s">
        <v>242</v>
      </c>
      <c r="B116" s="11"/>
      <c r="C116" s="84"/>
      <c r="D116" s="84"/>
      <c r="E116" s="84"/>
      <c r="F116" s="84">
        <f>C116+D116</f>
        <v>0</v>
      </c>
      <c r="G116" s="84"/>
      <c r="H116" s="84"/>
      <c r="I116" s="84">
        <f>F116+G116+H116</f>
        <v>0</v>
      </c>
      <c r="J116" s="84"/>
      <c r="K116" s="84"/>
      <c r="L116" s="84">
        <f>I116+J116+K116</f>
        <v>0</v>
      </c>
      <c r="M116" s="84"/>
      <c r="N116" s="84"/>
      <c r="O116" s="84">
        <f>L116+M116+N116</f>
        <v>0</v>
      </c>
      <c r="P116" s="55"/>
      <c r="Q116" s="53">
        <f t="shared" si="18"/>
        <v>0</v>
      </c>
    </row>
    <row r="117" spans="1:17" ht="12.75" hidden="1">
      <c r="A117" s="11" t="s">
        <v>360</v>
      </c>
      <c r="B117" s="11"/>
      <c r="C117" s="84"/>
      <c r="D117" s="84"/>
      <c r="E117" s="84"/>
      <c r="F117" s="84"/>
      <c r="G117" s="84"/>
      <c r="H117" s="84"/>
      <c r="I117" s="84">
        <f>F117+G117+H117</f>
        <v>0</v>
      </c>
      <c r="J117" s="84"/>
      <c r="K117" s="84"/>
      <c r="L117" s="84">
        <f>I117+J117+K117</f>
        <v>0</v>
      </c>
      <c r="M117" s="84"/>
      <c r="N117" s="84"/>
      <c r="O117" s="84">
        <f>L117+M117+N117</f>
        <v>0</v>
      </c>
      <c r="P117" s="55"/>
      <c r="Q117" s="53"/>
    </row>
    <row r="118" spans="1:17" ht="12.75" hidden="1">
      <c r="A118" s="14" t="s">
        <v>74</v>
      </c>
      <c r="B118" s="14"/>
      <c r="C118" s="88"/>
      <c r="D118" s="88"/>
      <c r="E118" s="88"/>
      <c r="F118" s="88">
        <f>C118+D118</f>
        <v>0</v>
      </c>
      <c r="G118" s="88"/>
      <c r="H118" s="88"/>
      <c r="I118" s="88">
        <f>F118+G118+H118</f>
        <v>0</v>
      </c>
      <c r="J118" s="88"/>
      <c r="K118" s="88"/>
      <c r="L118" s="88">
        <f>I118+J118+K118</f>
        <v>0</v>
      </c>
      <c r="M118" s="88"/>
      <c r="N118" s="88"/>
      <c r="O118" s="88">
        <f>L118+M118+N118</f>
        <v>0</v>
      </c>
      <c r="P118" s="68"/>
      <c r="Q118" s="69">
        <f t="shared" si="18"/>
        <v>0</v>
      </c>
    </row>
    <row r="119" spans="1:17" ht="12.75" hidden="1">
      <c r="A119" s="14" t="s">
        <v>76</v>
      </c>
      <c r="B119" s="14"/>
      <c r="C119" s="88"/>
      <c r="D119" s="88"/>
      <c r="E119" s="88"/>
      <c r="F119" s="88">
        <f>SUM(C119:E119)</f>
        <v>0</v>
      </c>
      <c r="G119" s="88"/>
      <c r="H119" s="88"/>
      <c r="I119" s="88">
        <f>F119+G119+H119</f>
        <v>0</v>
      </c>
      <c r="J119" s="88"/>
      <c r="K119" s="88"/>
      <c r="L119" s="88">
        <f>I119+J119+K119</f>
        <v>0</v>
      </c>
      <c r="M119" s="88"/>
      <c r="N119" s="88"/>
      <c r="O119" s="88">
        <f>L119+M119+N119</f>
        <v>0</v>
      </c>
      <c r="P119" s="55"/>
      <c r="Q119" s="53">
        <f t="shared" si="18"/>
        <v>0</v>
      </c>
    </row>
    <row r="120" spans="1:17" ht="12.75">
      <c r="A120" s="8" t="s">
        <v>77</v>
      </c>
      <c r="B120" s="8"/>
      <c r="C120" s="83">
        <f aca="true" t="shared" si="26" ref="C120:O120">C121+C140</f>
        <v>288001.2</v>
      </c>
      <c r="D120" s="83">
        <f t="shared" si="26"/>
        <v>0</v>
      </c>
      <c r="E120" s="83">
        <f t="shared" si="26"/>
        <v>0</v>
      </c>
      <c r="F120" s="83">
        <f t="shared" si="26"/>
        <v>288001.2</v>
      </c>
      <c r="G120" s="83">
        <f t="shared" si="26"/>
        <v>9723.400000000001</v>
      </c>
      <c r="H120" s="83">
        <f t="shared" si="26"/>
        <v>0</v>
      </c>
      <c r="I120" s="83">
        <f t="shared" si="26"/>
        <v>297724.5999999999</v>
      </c>
      <c r="J120" s="83">
        <f t="shared" si="26"/>
        <v>1801.4</v>
      </c>
      <c r="K120" s="83">
        <f t="shared" si="26"/>
        <v>0</v>
      </c>
      <c r="L120" s="83">
        <f t="shared" si="26"/>
        <v>299526</v>
      </c>
      <c r="M120" s="83">
        <f t="shared" si="26"/>
        <v>34470.1</v>
      </c>
      <c r="N120" s="83">
        <f t="shared" si="26"/>
        <v>0</v>
      </c>
      <c r="O120" s="83">
        <f t="shared" si="26"/>
        <v>333996.1</v>
      </c>
      <c r="P120" s="56"/>
      <c r="Q120" s="38">
        <f>Q121+Q140</f>
        <v>333135</v>
      </c>
    </row>
    <row r="121" spans="1:17" ht="12.75">
      <c r="A121" s="17" t="s">
        <v>69</v>
      </c>
      <c r="B121" s="17"/>
      <c r="C121" s="87">
        <f aca="true" t="shared" si="27" ref="C121:I121">SUM(C123:C139)</f>
        <v>288001.2</v>
      </c>
      <c r="D121" s="87">
        <f t="shared" si="27"/>
        <v>0</v>
      </c>
      <c r="E121" s="87">
        <f t="shared" si="27"/>
        <v>0</v>
      </c>
      <c r="F121" s="87">
        <f t="shared" si="27"/>
        <v>288001.2</v>
      </c>
      <c r="G121" s="87">
        <f t="shared" si="27"/>
        <v>8603.400000000001</v>
      </c>
      <c r="H121" s="87">
        <f t="shared" si="27"/>
        <v>0</v>
      </c>
      <c r="I121" s="87">
        <f t="shared" si="27"/>
        <v>296604.5999999999</v>
      </c>
      <c r="J121" s="87">
        <f aca="true" t="shared" si="28" ref="J121:O121">SUM(J123:J139)</f>
        <v>1291.5</v>
      </c>
      <c r="K121" s="87">
        <f t="shared" si="28"/>
        <v>0</v>
      </c>
      <c r="L121" s="87">
        <f t="shared" si="28"/>
        <v>297896.1</v>
      </c>
      <c r="M121" s="87">
        <f t="shared" si="28"/>
        <v>2338.9</v>
      </c>
      <c r="N121" s="87">
        <f t="shared" si="28"/>
        <v>0</v>
      </c>
      <c r="O121" s="87">
        <f t="shared" si="28"/>
        <v>300235</v>
      </c>
      <c r="P121" s="60"/>
      <c r="Q121" s="39">
        <f>SUM(Q123:Q139)</f>
        <v>299373.9</v>
      </c>
    </row>
    <row r="122" spans="1:17" ht="12.75">
      <c r="A122" s="13" t="s">
        <v>38</v>
      </c>
      <c r="B122" s="1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55"/>
      <c r="Q122" s="53"/>
    </row>
    <row r="123" spans="1:17" ht="12.75">
      <c r="A123" s="20" t="s">
        <v>187</v>
      </c>
      <c r="B123" s="20"/>
      <c r="C123" s="84">
        <v>133151.3</v>
      </c>
      <c r="D123" s="84"/>
      <c r="E123" s="84"/>
      <c r="F123" s="84">
        <f>C123+D123+E123</f>
        <v>133151.3</v>
      </c>
      <c r="G123" s="84">
        <v>2523.2</v>
      </c>
      <c r="H123" s="84"/>
      <c r="I123" s="84">
        <f>F123+G123+H123</f>
        <v>135674.5</v>
      </c>
      <c r="J123" s="84">
        <v>150</v>
      </c>
      <c r="K123" s="84"/>
      <c r="L123" s="84">
        <f>I123+J123+K123</f>
        <v>135824.5</v>
      </c>
      <c r="M123" s="84"/>
      <c r="N123" s="84"/>
      <c r="O123" s="84">
        <f>L123+M123+N123</f>
        <v>135824.5</v>
      </c>
      <c r="P123" s="55"/>
      <c r="Q123" s="53">
        <f t="shared" si="18"/>
        <v>135824.5</v>
      </c>
    </row>
    <row r="124" spans="1:17" ht="12.75">
      <c r="A124" s="11" t="s">
        <v>70</v>
      </c>
      <c r="B124" s="11"/>
      <c r="C124" s="84">
        <v>44406.7</v>
      </c>
      <c r="D124" s="84"/>
      <c r="E124" s="84"/>
      <c r="F124" s="84">
        <f aca="true" t="shared" si="29" ref="F124:F139">C124+D124+E124</f>
        <v>44406.7</v>
      </c>
      <c r="G124" s="84">
        <v>876.8</v>
      </c>
      <c r="H124" s="84"/>
      <c r="I124" s="84">
        <f aca="true" t="shared" si="30" ref="I124:I139">F124+G124+H124</f>
        <v>45283.5</v>
      </c>
      <c r="J124" s="84">
        <v>52</v>
      </c>
      <c r="K124" s="84"/>
      <c r="L124" s="84">
        <f aca="true" t="shared" si="31" ref="L124:L139">I124+J124+K124</f>
        <v>45335.5</v>
      </c>
      <c r="M124" s="84"/>
      <c r="N124" s="84"/>
      <c r="O124" s="84">
        <f aca="true" t="shared" si="32" ref="O124:O139">L124+M124+N124</f>
        <v>45335.5</v>
      </c>
      <c r="P124" s="55"/>
      <c r="Q124" s="53">
        <f t="shared" si="18"/>
        <v>45335.5</v>
      </c>
    </row>
    <row r="125" spans="1:17" ht="12.75">
      <c r="A125" s="11" t="s">
        <v>78</v>
      </c>
      <c r="B125" s="11"/>
      <c r="C125" s="84">
        <v>200</v>
      </c>
      <c r="D125" s="84"/>
      <c r="E125" s="84"/>
      <c r="F125" s="84">
        <f t="shared" si="29"/>
        <v>200</v>
      </c>
      <c r="G125" s="84"/>
      <c r="H125" s="84"/>
      <c r="I125" s="84">
        <f t="shared" si="30"/>
        <v>200</v>
      </c>
      <c r="J125" s="84"/>
      <c r="K125" s="84"/>
      <c r="L125" s="84">
        <f t="shared" si="31"/>
        <v>200</v>
      </c>
      <c r="M125" s="84"/>
      <c r="N125" s="84"/>
      <c r="O125" s="84">
        <f t="shared" si="32"/>
        <v>200</v>
      </c>
      <c r="P125" s="55"/>
      <c r="Q125" s="53">
        <f t="shared" si="18"/>
        <v>200</v>
      </c>
    </row>
    <row r="126" spans="1:17" ht="12.75">
      <c r="A126" s="11" t="s">
        <v>72</v>
      </c>
      <c r="B126" s="11"/>
      <c r="C126" s="84">
        <v>39437.5</v>
      </c>
      <c r="D126" s="84"/>
      <c r="E126" s="84"/>
      <c r="F126" s="84">
        <f t="shared" si="29"/>
        <v>39437.5</v>
      </c>
      <c r="G126" s="84">
        <f>600+2000</f>
        <v>2600</v>
      </c>
      <c r="H126" s="84"/>
      <c r="I126" s="84">
        <f t="shared" si="30"/>
        <v>42037.5</v>
      </c>
      <c r="J126" s="84">
        <f>-203-56.3+498</f>
        <v>238.7</v>
      </c>
      <c r="K126" s="84"/>
      <c r="L126" s="84">
        <f t="shared" si="31"/>
        <v>42276.2</v>
      </c>
      <c r="M126" s="84"/>
      <c r="N126" s="84"/>
      <c r="O126" s="84">
        <f t="shared" si="32"/>
        <v>42276.2</v>
      </c>
      <c r="P126" s="55"/>
      <c r="Q126" s="53">
        <f t="shared" si="18"/>
        <v>42276.2</v>
      </c>
    </row>
    <row r="127" spans="1:17" ht="12.75">
      <c r="A127" s="11" t="s">
        <v>79</v>
      </c>
      <c r="B127" s="96" t="s">
        <v>333</v>
      </c>
      <c r="C127" s="84">
        <v>152</v>
      </c>
      <c r="D127" s="84"/>
      <c r="E127" s="84"/>
      <c r="F127" s="84">
        <f t="shared" si="29"/>
        <v>152</v>
      </c>
      <c r="G127" s="84"/>
      <c r="H127" s="84"/>
      <c r="I127" s="84">
        <f t="shared" si="30"/>
        <v>152</v>
      </c>
      <c r="J127" s="84"/>
      <c r="K127" s="84"/>
      <c r="L127" s="84">
        <f t="shared" si="31"/>
        <v>152</v>
      </c>
      <c r="M127" s="84"/>
      <c r="N127" s="84"/>
      <c r="O127" s="84">
        <f t="shared" si="32"/>
        <v>152</v>
      </c>
      <c r="P127" s="55"/>
      <c r="Q127" s="53">
        <f t="shared" si="18"/>
        <v>152</v>
      </c>
    </row>
    <row r="128" spans="1:17" ht="12.75">
      <c r="A128" s="11" t="s">
        <v>80</v>
      </c>
      <c r="B128" s="96" t="s">
        <v>373</v>
      </c>
      <c r="C128" s="84">
        <v>70503.7</v>
      </c>
      <c r="D128" s="84"/>
      <c r="E128" s="84"/>
      <c r="F128" s="84">
        <f t="shared" si="29"/>
        <v>70503.7</v>
      </c>
      <c r="G128" s="84"/>
      <c r="H128" s="84"/>
      <c r="I128" s="84">
        <f t="shared" si="30"/>
        <v>70503.7</v>
      </c>
      <c r="J128" s="84"/>
      <c r="K128" s="84"/>
      <c r="L128" s="84">
        <f t="shared" si="31"/>
        <v>70503.7</v>
      </c>
      <c r="M128" s="84"/>
      <c r="N128" s="84"/>
      <c r="O128" s="84">
        <f t="shared" si="32"/>
        <v>70503.7</v>
      </c>
      <c r="P128" s="55"/>
      <c r="Q128" s="53">
        <f t="shared" si="18"/>
        <v>70503.7</v>
      </c>
    </row>
    <row r="129" spans="1:17" ht="12.75">
      <c r="A129" s="11" t="s">
        <v>103</v>
      </c>
      <c r="B129" s="96"/>
      <c r="C129" s="84">
        <v>150</v>
      </c>
      <c r="D129" s="84"/>
      <c r="E129" s="84"/>
      <c r="F129" s="84">
        <f t="shared" si="29"/>
        <v>150</v>
      </c>
      <c r="G129" s="84">
        <v>1258.1</v>
      </c>
      <c r="H129" s="84"/>
      <c r="I129" s="84">
        <f t="shared" si="30"/>
        <v>1408.1</v>
      </c>
      <c r="J129" s="84">
        <v>80</v>
      </c>
      <c r="K129" s="84"/>
      <c r="L129" s="84">
        <f t="shared" si="31"/>
        <v>1488.1</v>
      </c>
      <c r="M129" s="84"/>
      <c r="N129" s="84"/>
      <c r="O129" s="84">
        <f t="shared" si="32"/>
        <v>1488.1</v>
      </c>
      <c r="P129" s="55"/>
      <c r="Q129" s="53">
        <f t="shared" si="18"/>
        <v>1488.1</v>
      </c>
    </row>
    <row r="130" spans="1:17" ht="12.75">
      <c r="A130" s="11" t="s">
        <v>305</v>
      </c>
      <c r="B130" s="97">
        <v>2600</v>
      </c>
      <c r="C130" s="84"/>
      <c r="D130" s="84"/>
      <c r="E130" s="84"/>
      <c r="F130" s="84">
        <f t="shared" si="29"/>
        <v>0</v>
      </c>
      <c r="G130" s="84">
        <v>21.1</v>
      </c>
      <c r="H130" s="84"/>
      <c r="I130" s="84">
        <f t="shared" si="30"/>
        <v>21.1</v>
      </c>
      <c r="J130" s="84"/>
      <c r="K130" s="84"/>
      <c r="L130" s="84">
        <f t="shared" si="31"/>
        <v>21.1</v>
      </c>
      <c r="M130" s="84"/>
      <c r="N130" s="84"/>
      <c r="O130" s="84">
        <f t="shared" si="32"/>
        <v>21.1</v>
      </c>
      <c r="P130" s="55"/>
      <c r="Q130" s="53">
        <f t="shared" si="18"/>
        <v>21.1</v>
      </c>
    </row>
    <row r="131" spans="1:17" ht="12.75">
      <c r="A131" s="11" t="s">
        <v>203</v>
      </c>
      <c r="B131" s="97"/>
      <c r="C131" s="84"/>
      <c r="D131" s="84"/>
      <c r="E131" s="84"/>
      <c r="F131" s="84">
        <f t="shared" si="29"/>
        <v>0</v>
      </c>
      <c r="G131" s="84"/>
      <c r="H131" s="84"/>
      <c r="I131" s="84">
        <f t="shared" si="30"/>
        <v>0</v>
      </c>
      <c r="J131" s="84">
        <v>52.7</v>
      </c>
      <c r="K131" s="84"/>
      <c r="L131" s="84">
        <f t="shared" si="31"/>
        <v>52.7</v>
      </c>
      <c r="M131" s="84"/>
      <c r="N131" s="84"/>
      <c r="O131" s="84">
        <f t="shared" si="32"/>
        <v>52.7</v>
      </c>
      <c r="P131" s="55"/>
      <c r="Q131" s="53">
        <f t="shared" si="18"/>
        <v>52.7</v>
      </c>
    </row>
    <row r="132" spans="1:17" ht="12.75">
      <c r="A132" s="11" t="s">
        <v>306</v>
      </c>
      <c r="B132" s="97">
        <v>1800</v>
      </c>
      <c r="C132" s="84"/>
      <c r="D132" s="84"/>
      <c r="E132" s="84"/>
      <c r="F132" s="84">
        <f t="shared" si="29"/>
        <v>0</v>
      </c>
      <c r="G132" s="84">
        <v>463.1</v>
      </c>
      <c r="H132" s="84"/>
      <c r="I132" s="84">
        <f t="shared" si="30"/>
        <v>463.1</v>
      </c>
      <c r="J132" s="84">
        <v>453.1</v>
      </c>
      <c r="K132" s="84"/>
      <c r="L132" s="84">
        <f t="shared" si="31"/>
        <v>916.2</v>
      </c>
      <c r="M132" s="84"/>
      <c r="N132" s="84"/>
      <c r="O132" s="84">
        <f t="shared" si="32"/>
        <v>916.2</v>
      </c>
      <c r="P132" s="55"/>
      <c r="Q132" s="53">
        <f t="shared" si="18"/>
        <v>916.2</v>
      </c>
    </row>
    <row r="133" spans="1:17" ht="12.75">
      <c r="A133" s="20" t="s">
        <v>236</v>
      </c>
      <c r="B133" s="98"/>
      <c r="C133" s="84"/>
      <c r="D133" s="84"/>
      <c r="E133" s="84"/>
      <c r="F133" s="84">
        <f t="shared" si="29"/>
        <v>0</v>
      </c>
      <c r="G133" s="84"/>
      <c r="H133" s="84"/>
      <c r="I133" s="84">
        <f t="shared" si="30"/>
        <v>0</v>
      </c>
      <c r="J133" s="84"/>
      <c r="K133" s="84"/>
      <c r="L133" s="84">
        <f t="shared" si="31"/>
        <v>0</v>
      </c>
      <c r="M133" s="84">
        <v>2323.9</v>
      </c>
      <c r="N133" s="84"/>
      <c r="O133" s="84">
        <f t="shared" si="32"/>
        <v>2323.9</v>
      </c>
      <c r="P133" s="55"/>
      <c r="Q133" s="53">
        <f t="shared" si="18"/>
        <v>2323.9</v>
      </c>
    </row>
    <row r="134" spans="1:17" ht="12.75">
      <c r="A134" s="20" t="s">
        <v>307</v>
      </c>
      <c r="B134" s="98">
        <v>3200</v>
      </c>
      <c r="C134" s="84"/>
      <c r="D134" s="84"/>
      <c r="E134" s="84"/>
      <c r="F134" s="84">
        <f t="shared" si="29"/>
        <v>0</v>
      </c>
      <c r="G134" s="84">
        <v>761.1</v>
      </c>
      <c r="H134" s="84"/>
      <c r="I134" s="84">
        <f t="shared" si="30"/>
        <v>761.1</v>
      </c>
      <c r="J134" s="84"/>
      <c r="K134" s="84"/>
      <c r="L134" s="84">
        <f t="shared" si="31"/>
        <v>761.1</v>
      </c>
      <c r="M134" s="84"/>
      <c r="N134" s="84"/>
      <c r="O134" s="84">
        <f t="shared" si="32"/>
        <v>761.1</v>
      </c>
      <c r="P134" s="55"/>
      <c r="Q134" s="53"/>
    </row>
    <row r="135" spans="1:17" ht="12.75" hidden="1">
      <c r="A135" s="11" t="s">
        <v>81</v>
      </c>
      <c r="B135" s="11"/>
      <c r="C135" s="84"/>
      <c r="D135" s="84"/>
      <c r="E135" s="84"/>
      <c r="F135" s="84">
        <f t="shared" si="29"/>
        <v>0</v>
      </c>
      <c r="G135" s="84"/>
      <c r="H135" s="84"/>
      <c r="I135" s="84">
        <f t="shared" si="30"/>
        <v>0</v>
      </c>
      <c r="J135" s="84"/>
      <c r="K135" s="84"/>
      <c r="L135" s="84">
        <f t="shared" si="31"/>
        <v>0</v>
      </c>
      <c r="M135" s="84"/>
      <c r="N135" s="84"/>
      <c r="O135" s="84">
        <f t="shared" si="32"/>
        <v>0</v>
      </c>
      <c r="P135" s="55"/>
      <c r="Q135" s="53">
        <f t="shared" si="18"/>
        <v>0</v>
      </c>
    </row>
    <row r="136" spans="1:17" ht="12.75">
      <c r="A136" s="11" t="s">
        <v>82</v>
      </c>
      <c r="B136" s="96">
        <v>98074</v>
      </c>
      <c r="C136" s="84"/>
      <c r="D136" s="84"/>
      <c r="E136" s="84"/>
      <c r="F136" s="84">
        <f t="shared" si="29"/>
        <v>0</v>
      </c>
      <c r="G136" s="84"/>
      <c r="H136" s="84"/>
      <c r="I136" s="84">
        <f t="shared" si="30"/>
        <v>0</v>
      </c>
      <c r="J136" s="84">
        <v>15</v>
      </c>
      <c r="K136" s="84"/>
      <c r="L136" s="84">
        <f t="shared" si="31"/>
        <v>15</v>
      </c>
      <c r="M136" s="84">
        <v>15</v>
      </c>
      <c r="N136" s="84"/>
      <c r="O136" s="84">
        <f t="shared" si="32"/>
        <v>30</v>
      </c>
      <c r="P136" s="55"/>
      <c r="Q136" s="53">
        <f t="shared" si="18"/>
        <v>30</v>
      </c>
    </row>
    <row r="137" spans="1:17" ht="12.75" hidden="1">
      <c r="A137" s="11" t="s">
        <v>83</v>
      </c>
      <c r="B137" s="96"/>
      <c r="C137" s="84"/>
      <c r="D137" s="84"/>
      <c r="E137" s="84"/>
      <c r="F137" s="84">
        <f t="shared" si="29"/>
        <v>0</v>
      </c>
      <c r="G137" s="84"/>
      <c r="H137" s="84"/>
      <c r="I137" s="84">
        <f t="shared" si="30"/>
        <v>0</v>
      </c>
      <c r="J137" s="84"/>
      <c r="K137" s="84"/>
      <c r="L137" s="84">
        <f t="shared" si="31"/>
        <v>0</v>
      </c>
      <c r="M137" s="84"/>
      <c r="N137" s="84"/>
      <c r="O137" s="84">
        <f t="shared" si="32"/>
        <v>0</v>
      </c>
      <c r="P137" s="55"/>
      <c r="Q137" s="53">
        <f t="shared" si="18"/>
        <v>0</v>
      </c>
    </row>
    <row r="138" spans="1:17" ht="12.75">
      <c r="A138" s="11" t="s">
        <v>302</v>
      </c>
      <c r="B138" s="96">
        <v>98008</v>
      </c>
      <c r="C138" s="84"/>
      <c r="D138" s="84"/>
      <c r="E138" s="84"/>
      <c r="F138" s="84">
        <f t="shared" si="29"/>
        <v>0</v>
      </c>
      <c r="G138" s="84">
        <v>100</v>
      </c>
      <c r="H138" s="84"/>
      <c r="I138" s="84">
        <f t="shared" si="30"/>
        <v>100</v>
      </c>
      <c r="J138" s="84"/>
      <c r="K138" s="84"/>
      <c r="L138" s="84">
        <f t="shared" si="31"/>
        <v>100</v>
      </c>
      <c r="M138" s="84"/>
      <c r="N138" s="84"/>
      <c r="O138" s="84">
        <f t="shared" si="32"/>
        <v>100</v>
      </c>
      <c r="P138" s="55"/>
      <c r="Q138" s="53"/>
    </row>
    <row r="139" spans="1:17" ht="12.75">
      <c r="A139" s="11" t="s">
        <v>84</v>
      </c>
      <c r="B139" s="97" t="s">
        <v>348</v>
      </c>
      <c r="C139" s="84"/>
      <c r="D139" s="84"/>
      <c r="E139" s="84"/>
      <c r="F139" s="84">
        <f t="shared" si="29"/>
        <v>0</v>
      </c>
      <c r="G139" s="84"/>
      <c r="H139" s="84"/>
      <c r="I139" s="84">
        <f t="shared" si="30"/>
        <v>0</v>
      </c>
      <c r="J139" s="84">
        <v>250</v>
      </c>
      <c r="K139" s="84"/>
      <c r="L139" s="84">
        <f t="shared" si="31"/>
        <v>250</v>
      </c>
      <c r="M139" s="84"/>
      <c r="N139" s="84"/>
      <c r="O139" s="84">
        <f t="shared" si="32"/>
        <v>250</v>
      </c>
      <c r="P139" s="55"/>
      <c r="Q139" s="53">
        <f t="shared" si="18"/>
        <v>250</v>
      </c>
    </row>
    <row r="140" spans="1:17" ht="12.75">
      <c r="A140" s="17" t="s">
        <v>75</v>
      </c>
      <c r="B140" s="17"/>
      <c r="C140" s="87">
        <f aca="true" t="shared" si="33" ref="C140:O140">C145+C142+C143+C144</f>
        <v>0</v>
      </c>
      <c r="D140" s="87">
        <f t="shared" si="33"/>
        <v>0</v>
      </c>
      <c r="E140" s="87">
        <f t="shared" si="33"/>
        <v>0</v>
      </c>
      <c r="F140" s="87">
        <f t="shared" si="33"/>
        <v>0</v>
      </c>
      <c r="G140" s="87">
        <f t="shared" si="33"/>
        <v>1120</v>
      </c>
      <c r="H140" s="87">
        <f t="shared" si="33"/>
        <v>0</v>
      </c>
      <c r="I140" s="87">
        <f t="shared" si="33"/>
        <v>1120</v>
      </c>
      <c r="J140" s="87">
        <f t="shared" si="33"/>
        <v>509.90000000000003</v>
      </c>
      <c r="K140" s="87">
        <f t="shared" si="33"/>
        <v>0</v>
      </c>
      <c r="L140" s="87">
        <f t="shared" si="33"/>
        <v>1629.9</v>
      </c>
      <c r="M140" s="87">
        <f t="shared" si="33"/>
        <v>32131.2</v>
      </c>
      <c r="N140" s="87">
        <f t="shared" si="33"/>
        <v>0</v>
      </c>
      <c r="O140" s="87">
        <f t="shared" si="33"/>
        <v>33761.1</v>
      </c>
      <c r="P140" s="60"/>
      <c r="Q140" s="39">
        <f>Q145+Q142</f>
        <v>33761.1</v>
      </c>
    </row>
    <row r="141" spans="1:17" ht="12.75">
      <c r="A141" s="13" t="s">
        <v>38</v>
      </c>
      <c r="B141" s="13"/>
      <c r="C141" s="84"/>
      <c r="D141" s="84"/>
      <c r="E141" s="84"/>
      <c r="F141" s="83"/>
      <c r="G141" s="84"/>
      <c r="H141" s="84"/>
      <c r="I141" s="83"/>
      <c r="J141" s="84"/>
      <c r="K141" s="84"/>
      <c r="L141" s="83"/>
      <c r="M141" s="84"/>
      <c r="N141" s="84"/>
      <c r="O141" s="83"/>
      <c r="P141" s="55"/>
      <c r="Q141" s="53"/>
    </row>
    <row r="142" spans="1:17" ht="12.75">
      <c r="A142" s="10" t="s">
        <v>76</v>
      </c>
      <c r="B142" s="10"/>
      <c r="C142" s="84"/>
      <c r="D142" s="84"/>
      <c r="E142" s="84"/>
      <c r="F142" s="84">
        <f>C142+D142+E142</f>
        <v>0</v>
      </c>
      <c r="G142" s="84">
        <v>1120</v>
      </c>
      <c r="H142" s="84"/>
      <c r="I142" s="84">
        <f>F142+G142+H142</f>
        <v>1120</v>
      </c>
      <c r="J142" s="84">
        <f>56.3</f>
        <v>56.3</v>
      </c>
      <c r="K142" s="84"/>
      <c r="L142" s="84">
        <f>I142+J142+K142</f>
        <v>1176.3</v>
      </c>
      <c r="M142" s="84"/>
      <c r="N142" s="84"/>
      <c r="O142" s="84">
        <f>L142+M142+N142</f>
        <v>1176.3</v>
      </c>
      <c r="P142" s="55"/>
      <c r="Q142" s="53">
        <f t="shared" si="18"/>
        <v>1176.3</v>
      </c>
    </row>
    <row r="143" spans="1:17" ht="12.75" hidden="1">
      <c r="A143" s="20" t="s">
        <v>372</v>
      </c>
      <c r="B143" s="10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55"/>
      <c r="Q143" s="53"/>
    </row>
    <row r="144" spans="1:17" ht="12.75" hidden="1">
      <c r="A144" s="20" t="s">
        <v>374</v>
      </c>
      <c r="B144" s="10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55"/>
      <c r="Q144" s="53"/>
    </row>
    <row r="145" spans="1:17" ht="12.75">
      <c r="A145" s="14" t="s">
        <v>104</v>
      </c>
      <c r="B145" s="14"/>
      <c r="C145" s="88"/>
      <c r="D145" s="88"/>
      <c r="E145" s="88"/>
      <c r="F145" s="88">
        <f>C145+D145+E145</f>
        <v>0</v>
      </c>
      <c r="G145" s="88"/>
      <c r="H145" s="88"/>
      <c r="I145" s="88">
        <f>F145+G145+H145</f>
        <v>0</v>
      </c>
      <c r="J145" s="88">
        <f>453.6</f>
        <v>453.6</v>
      </c>
      <c r="K145" s="88"/>
      <c r="L145" s="88">
        <f>I145+J145+K145</f>
        <v>453.6</v>
      </c>
      <c r="M145" s="88">
        <f>2280+29851.2</f>
        <v>32131.2</v>
      </c>
      <c r="N145" s="88"/>
      <c r="O145" s="88">
        <f>L145+M145+N145</f>
        <v>32584.8</v>
      </c>
      <c r="P145" s="68"/>
      <c r="Q145" s="69">
        <f t="shared" si="18"/>
        <v>32584.8</v>
      </c>
    </row>
    <row r="146" spans="1:17" ht="12.75">
      <c r="A146" s="8" t="s">
        <v>85</v>
      </c>
      <c r="B146" s="8"/>
      <c r="C146" s="83">
        <f aca="true" t="shared" si="34" ref="C146:I146">C147+C156</f>
        <v>108810</v>
      </c>
      <c r="D146" s="83">
        <f t="shared" si="34"/>
        <v>-45000</v>
      </c>
      <c r="E146" s="83">
        <f t="shared" si="34"/>
        <v>0</v>
      </c>
      <c r="F146" s="83">
        <f t="shared" si="34"/>
        <v>63810</v>
      </c>
      <c r="G146" s="83">
        <f t="shared" si="34"/>
        <v>6564.5</v>
      </c>
      <c r="H146" s="83">
        <f t="shared" si="34"/>
        <v>0</v>
      </c>
      <c r="I146" s="83">
        <f t="shared" si="34"/>
        <v>70374.5</v>
      </c>
      <c r="J146" s="83">
        <f aca="true" t="shared" si="35" ref="J146:O146">J147+J156</f>
        <v>3976.8000000000006</v>
      </c>
      <c r="K146" s="83">
        <f t="shared" si="35"/>
        <v>18000.6</v>
      </c>
      <c r="L146" s="83">
        <f t="shared" si="35"/>
        <v>92351.9</v>
      </c>
      <c r="M146" s="83">
        <f t="shared" si="35"/>
        <v>5556.7</v>
      </c>
      <c r="N146" s="83">
        <f t="shared" si="35"/>
        <v>0</v>
      </c>
      <c r="O146" s="83">
        <f t="shared" si="35"/>
        <v>97908.6</v>
      </c>
      <c r="P146" s="56"/>
      <c r="Q146" s="38">
        <f>Q147+Q156</f>
        <v>97908.6</v>
      </c>
    </row>
    <row r="147" spans="1:17" ht="12.75">
      <c r="A147" s="17" t="s">
        <v>69</v>
      </c>
      <c r="B147" s="17"/>
      <c r="C147" s="87">
        <f aca="true" t="shared" si="36" ref="C147:I147">SUM(C149:C154)</f>
        <v>63810</v>
      </c>
      <c r="D147" s="87">
        <f t="shared" si="36"/>
        <v>-45000</v>
      </c>
      <c r="E147" s="87">
        <f t="shared" si="36"/>
        <v>0</v>
      </c>
      <c r="F147" s="87">
        <f t="shared" si="36"/>
        <v>18810</v>
      </c>
      <c r="G147" s="87">
        <f t="shared" si="36"/>
        <v>1564.5</v>
      </c>
      <c r="H147" s="87">
        <f t="shared" si="36"/>
        <v>0</v>
      </c>
      <c r="I147" s="87">
        <f t="shared" si="36"/>
        <v>20374.5</v>
      </c>
      <c r="J147" s="87">
        <f aca="true" t="shared" si="37" ref="J147:O147">SUM(J149:J154)</f>
        <v>4116.400000000001</v>
      </c>
      <c r="K147" s="87">
        <f t="shared" si="37"/>
        <v>-1238.8</v>
      </c>
      <c r="L147" s="87">
        <f t="shared" si="37"/>
        <v>23252.1</v>
      </c>
      <c r="M147" s="87">
        <f t="shared" si="37"/>
        <v>56.7</v>
      </c>
      <c r="N147" s="87">
        <f t="shared" si="37"/>
        <v>0</v>
      </c>
      <c r="O147" s="87">
        <f t="shared" si="37"/>
        <v>23308.8</v>
      </c>
      <c r="P147" s="60"/>
      <c r="Q147" s="39">
        <f>SUM(Q149:Q154)</f>
        <v>23308.8</v>
      </c>
    </row>
    <row r="148" spans="1:17" ht="12.75">
      <c r="A148" s="13" t="s">
        <v>38</v>
      </c>
      <c r="B148" s="13"/>
      <c r="C148" s="84"/>
      <c r="D148" s="84"/>
      <c r="E148" s="84"/>
      <c r="F148" s="83"/>
      <c r="G148" s="84"/>
      <c r="H148" s="84"/>
      <c r="I148" s="83"/>
      <c r="J148" s="84"/>
      <c r="K148" s="84"/>
      <c r="L148" s="83"/>
      <c r="M148" s="84"/>
      <c r="N148" s="84"/>
      <c r="O148" s="83"/>
      <c r="P148" s="55"/>
      <c r="Q148" s="53"/>
    </row>
    <row r="149" spans="1:17" ht="12" customHeight="1">
      <c r="A149" s="15" t="s">
        <v>264</v>
      </c>
      <c r="B149" s="15"/>
      <c r="C149" s="84">
        <v>45000</v>
      </c>
      <c r="D149" s="84">
        <v>-45000</v>
      </c>
      <c r="E149" s="84"/>
      <c r="F149" s="84">
        <f>C149+D149+E149</f>
        <v>0</v>
      </c>
      <c r="G149" s="84"/>
      <c r="H149" s="84"/>
      <c r="I149" s="84">
        <f>F149+G149+H149</f>
        <v>0</v>
      </c>
      <c r="J149" s="84"/>
      <c r="K149" s="84"/>
      <c r="L149" s="84">
        <f>I149+J149+K149</f>
        <v>0</v>
      </c>
      <c r="M149" s="84"/>
      <c r="N149" s="84"/>
      <c r="O149" s="84">
        <f>L149+M149+N149</f>
        <v>0</v>
      </c>
      <c r="P149" s="55"/>
      <c r="Q149" s="53">
        <f t="shared" si="18"/>
        <v>0</v>
      </c>
    </row>
    <row r="150" spans="1:17" ht="12.75">
      <c r="A150" s="11" t="s">
        <v>72</v>
      </c>
      <c r="B150" s="11"/>
      <c r="C150" s="84">
        <v>18810</v>
      </c>
      <c r="D150" s="84"/>
      <c r="E150" s="84"/>
      <c r="F150" s="84">
        <f aca="true" t="shared" si="38" ref="F150:F155">C150+D150+E150</f>
        <v>18810</v>
      </c>
      <c r="G150" s="84"/>
      <c r="H150" s="84"/>
      <c r="I150" s="84">
        <f aca="true" t="shared" si="39" ref="I150:I155">F150+G150+H150</f>
        <v>18810</v>
      </c>
      <c r="J150" s="84"/>
      <c r="K150" s="84">
        <f>-1124.5-910-1250</f>
        <v>-3284.5</v>
      </c>
      <c r="L150" s="84">
        <f aca="true" t="shared" si="40" ref="L150:L155">I150+J150+K150</f>
        <v>15525.5</v>
      </c>
      <c r="M150" s="84"/>
      <c r="N150" s="84"/>
      <c r="O150" s="84">
        <f aca="true" t="shared" si="41" ref="O150:O155">L150+M150+N150</f>
        <v>15525.5</v>
      </c>
      <c r="P150" s="55"/>
      <c r="Q150" s="53">
        <f t="shared" si="18"/>
        <v>15525.5</v>
      </c>
    </row>
    <row r="151" spans="1:17" ht="12.75">
      <c r="A151" s="11" t="s">
        <v>87</v>
      </c>
      <c r="B151" s="11"/>
      <c r="C151" s="84"/>
      <c r="D151" s="84"/>
      <c r="E151" s="84"/>
      <c r="F151" s="84">
        <f t="shared" si="38"/>
        <v>0</v>
      </c>
      <c r="G151" s="84"/>
      <c r="H151" s="84"/>
      <c r="I151" s="84">
        <f t="shared" si="39"/>
        <v>0</v>
      </c>
      <c r="J151" s="84"/>
      <c r="K151" s="84">
        <f>1124.5+910</f>
        <v>2034.5</v>
      </c>
      <c r="L151" s="84">
        <f t="shared" si="40"/>
        <v>2034.5</v>
      </c>
      <c r="M151" s="84"/>
      <c r="N151" s="84"/>
      <c r="O151" s="84">
        <f t="shared" si="41"/>
        <v>2034.5</v>
      </c>
      <c r="P151" s="55"/>
      <c r="Q151" s="53">
        <f t="shared" si="18"/>
        <v>2034.5</v>
      </c>
    </row>
    <row r="152" spans="1:17" ht="12.75">
      <c r="A152" s="11" t="s">
        <v>88</v>
      </c>
      <c r="B152" s="11">
        <v>98278</v>
      </c>
      <c r="C152" s="84"/>
      <c r="D152" s="84"/>
      <c r="E152" s="84"/>
      <c r="F152" s="84">
        <f t="shared" si="38"/>
        <v>0</v>
      </c>
      <c r="G152" s="84">
        <v>20.1</v>
      </c>
      <c r="H152" s="84"/>
      <c r="I152" s="84">
        <f t="shared" si="39"/>
        <v>20.1</v>
      </c>
      <c r="J152" s="84">
        <f>353.6+92.9+764.7</f>
        <v>1211.2</v>
      </c>
      <c r="K152" s="84"/>
      <c r="L152" s="84">
        <f t="shared" si="40"/>
        <v>1231.3</v>
      </c>
      <c r="M152" s="84">
        <v>56.7</v>
      </c>
      <c r="N152" s="84"/>
      <c r="O152" s="84">
        <f t="shared" si="41"/>
        <v>1288</v>
      </c>
      <c r="P152" s="55"/>
      <c r="Q152" s="53">
        <f t="shared" si="18"/>
        <v>1288</v>
      </c>
    </row>
    <row r="153" spans="1:17" ht="12.75">
      <c r="A153" s="11" t="s">
        <v>103</v>
      </c>
      <c r="B153" s="11"/>
      <c r="C153" s="84"/>
      <c r="D153" s="84"/>
      <c r="E153" s="84"/>
      <c r="F153" s="84">
        <f t="shared" si="38"/>
        <v>0</v>
      </c>
      <c r="G153" s="84">
        <v>1544.4</v>
      </c>
      <c r="H153" s="84"/>
      <c r="I153" s="84">
        <f t="shared" si="39"/>
        <v>1544.4</v>
      </c>
      <c r="J153" s="84">
        <v>2765.6</v>
      </c>
      <c r="K153" s="84"/>
      <c r="L153" s="84">
        <f t="shared" si="40"/>
        <v>4310</v>
      </c>
      <c r="M153" s="84"/>
      <c r="N153" s="84"/>
      <c r="O153" s="84">
        <f t="shared" si="41"/>
        <v>4310</v>
      </c>
      <c r="P153" s="55"/>
      <c r="Q153" s="53">
        <f aca="true" t="shared" si="42" ref="Q153:Q208">O153+P153</f>
        <v>4310</v>
      </c>
    </row>
    <row r="154" spans="1:17" ht="12.75">
      <c r="A154" s="10" t="s">
        <v>90</v>
      </c>
      <c r="B154" s="10"/>
      <c r="C154" s="84"/>
      <c r="D154" s="84"/>
      <c r="E154" s="84"/>
      <c r="F154" s="84">
        <f t="shared" si="38"/>
        <v>0</v>
      </c>
      <c r="G154" s="84"/>
      <c r="H154" s="84"/>
      <c r="I154" s="84">
        <f t="shared" si="39"/>
        <v>0</v>
      </c>
      <c r="J154" s="84">
        <v>139.6</v>
      </c>
      <c r="K154" s="84">
        <v>11.2</v>
      </c>
      <c r="L154" s="84">
        <f t="shared" si="40"/>
        <v>150.79999999999998</v>
      </c>
      <c r="M154" s="84"/>
      <c r="N154" s="84"/>
      <c r="O154" s="84">
        <f t="shared" si="41"/>
        <v>150.79999999999998</v>
      </c>
      <c r="P154" s="55"/>
      <c r="Q154" s="53">
        <f t="shared" si="42"/>
        <v>150.79999999999998</v>
      </c>
    </row>
    <row r="155" spans="1:17" ht="12.75">
      <c r="A155" s="10" t="s">
        <v>91</v>
      </c>
      <c r="B155" s="10"/>
      <c r="C155" s="84"/>
      <c r="D155" s="84"/>
      <c r="E155" s="84"/>
      <c r="F155" s="84">
        <f t="shared" si="38"/>
        <v>0</v>
      </c>
      <c r="G155" s="84"/>
      <c r="H155" s="84"/>
      <c r="I155" s="84">
        <f t="shared" si="39"/>
        <v>0</v>
      </c>
      <c r="J155" s="84">
        <v>139.6</v>
      </c>
      <c r="K155" s="84">
        <v>11.2</v>
      </c>
      <c r="L155" s="84">
        <f t="shared" si="40"/>
        <v>150.79999999999998</v>
      </c>
      <c r="M155" s="84"/>
      <c r="N155" s="84"/>
      <c r="O155" s="84">
        <f t="shared" si="41"/>
        <v>150.79999999999998</v>
      </c>
      <c r="P155" s="55"/>
      <c r="Q155" s="53">
        <f t="shared" si="42"/>
        <v>150.79999999999998</v>
      </c>
    </row>
    <row r="156" spans="1:17" ht="12.75">
      <c r="A156" s="18" t="s">
        <v>75</v>
      </c>
      <c r="B156" s="18"/>
      <c r="C156" s="89">
        <f aca="true" t="shared" si="43" ref="C156:O156">SUM(C158:C161)</f>
        <v>45000</v>
      </c>
      <c r="D156" s="89">
        <f t="shared" si="43"/>
        <v>0</v>
      </c>
      <c r="E156" s="89">
        <f t="shared" si="43"/>
        <v>0</v>
      </c>
      <c r="F156" s="89">
        <f t="shared" si="43"/>
        <v>45000</v>
      </c>
      <c r="G156" s="89">
        <f t="shared" si="43"/>
        <v>5000</v>
      </c>
      <c r="H156" s="89">
        <f t="shared" si="43"/>
        <v>0</v>
      </c>
      <c r="I156" s="89">
        <f t="shared" si="43"/>
        <v>50000</v>
      </c>
      <c r="J156" s="89">
        <f t="shared" si="43"/>
        <v>-139.6</v>
      </c>
      <c r="K156" s="89">
        <f t="shared" si="43"/>
        <v>19239.399999999998</v>
      </c>
      <c r="L156" s="89">
        <f t="shared" si="43"/>
        <v>69099.8</v>
      </c>
      <c r="M156" s="89">
        <f t="shared" si="43"/>
        <v>5500</v>
      </c>
      <c r="N156" s="89">
        <f t="shared" si="43"/>
        <v>0</v>
      </c>
      <c r="O156" s="89">
        <f t="shared" si="43"/>
        <v>74599.8</v>
      </c>
      <c r="P156" s="61"/>
      <c r="Q156" s="49">
        <f>SUM(Q158:Q161)</f>
        <v>74599.8</v>
      </c>
    </row>
    <row r="157" spans="1:17" ht="12.75">
      <c r="A157" s="9" t="s">
        <v>38</v>
      </c>
      <c r="B157" s="9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55"/>
      <c r="Q157" s="53"/>
    </row>
    <row r="158" spans="1:17" ht="12.75">
      <c r="A158" s="10" t="s">
        <v>92</v>
      </c>
      <c r="B158" s="10"/>
      <c r="C158" s="84"/>
      <c r="D158" s="84"/>
      <c r="E158" s="84"/>
      <c r="F158" s="84">
        <f>C158+D158+E158</f>
        <v>0</v>
      </c>
      <c r="G158" s="84">
        <v>5000</v>
      </c>
      <c r="H158" s="84"/>
      <c r="I158" s="84">
        <f>F158+G158+H158</f>
        <v>5000</v>
      </c>
      <c r="J158" s="84"/>
      <c r="K158" s="84">
        <v>1250</v>
      </c>
      <c r="L158" s="84">
        <f>I158+J158+K158</f>
        <v>6250</v>
      </c>
      <c r="M158" s="84">
        <v>5500</v>
      </c>
      <c r="N158" s="84"/>
      <c r="O158" s="84">
        <f>L158+M158+N158</f>
        <v>11750</v>
      </c>
      <c r="P158" s="55"/>
      <c r="Q158" s="53">
        <f t="shared" si="42"/>
        <v>11750</v>
      </c>
    </row>
    <row r="159" spans="1:17" ht="12.75" hidden="1">
      <c r="A159" s="10" t="s">
        <v>76</v>
      </c>
      <c r="B159" s="10"/>
      <c r="C159" s="84"/>
      <c r="D159" s="84"/>
      <c r="E159" s="84"/>
      <c r="F159" s="84">
        <f>C159+D159+E159</f>
        <v>0</v>
      </c>
      <c r="G159" s="84"/>
      <c r="H159" s="84"/>
      <c r="I159" s="84">
        <f>F159+G159+H159</f>
        <v>0</v>
      </c>
      <c r="J159" s="84"/>
      <c r="K159" s="84"/>
      <c r="L159" s="84">
        <f>I159+J159+K159</f>
        <v>0</v>
      </c>
      <c r="M159" s="84"/>
      <c r="N159" s="84"/>
      <c r="O159" s="84">
        <f>L159+M159+N159</f>
        <v>0</v>
      </c>
      <c r="P159" s="55"/>
      <c r="Q159" s="53"/>
    </row>
    <row r="160" spans="1:17" ht="12.75" hidden="1">
      <c r="A160" s="11" t="s">
        <v>103</v>
      </c>
      <c r="B160" s="11"/>
      <c r="C160" s="84"/>
      <c r="D160" s="84"/>
      <c r="E160" s="84"/>
      <c r="F160" s="84">
        <f>C160+D160+E160</f>
        <v>0</v>
      </c>
      <c r="G160" s="84"/>
      <c r="H160" s="84"/>
      <c r="I160" s="84">
        <f>F160+G160+H160</f>
        <v>0</v>
      </c>
      <c r="J160" s="84"/>
      <c r="K160" s="84"/>
      <c r="L160" s="84">
        <f>I160+J160+K160</f>
        <v>0</v>
      </c>
      <c r="M160" s="84"/>
      <c r="N160" s="84"/>
      <c r="O160" s="84">
        <f>L160+M160+N160</f>
        <v>0</v>
      </c>
      <c r="P160" s="55"/>
      <c r="Q160" s="53">
        <f t="shared" si="42"/>
        <v>0</v>
      </c>
    </row>
    <row r="161" spans="1:17" ht="12.75">
      <c r="A161" s="10" t="s">
        <v>90</v>
      </c>
      <c r="B161" s="10"/>
      <c r="C161" s="84">
        <v>45000</v>
      </c>
      <c r="D161" s="84"/>
      <c r="E161" s="84"/>
      <c r="F161" s="84">
        <f>C161+D161+E161</f>
        <v>45000</v>
      </c>
      <c r="G161" s="84"/>
      <c r="H161" s="84"/>
      <c r="I161" s="84">
        <f>F161+G161+H161</f>
        <v>45000</v>
      </c>
      <c r="J161" s="84">
        <v>-139.6</v>
      </c>
      <c r="K161" s="84">
        <f>-11.2+18000.6</f>
        <v>17989.399999999998</v>
      </c>
      <c r="L161" s="84">
        <f>I161+J161+K161</f>
        <v>62849.8</v>
      </c>
      <c r="M161" s="84"/>
      <c r="N161" s="84"/>
      <c r="O161" s="84">
        <f>L161+M161+N161</f>
        <v>62849.8</v>
      </c>
      <c r="P161" s="55"/>
      <c r="Q161" s="53">
        <f t="shared" si="42"/>
        <v>62849.8</v>
      </c>
    </row>
    <row r="162" spans="1:17" ht="12.75">
      <c r="A162" s="19" t="s">
        <v>93</v>
      </c>
      <c r="B162" s="19"/>
      <c r="C162" s="88"/>
      <c r="D162" s="88"/>
      <c r="E162" s="88"/>
      <c r="F162" s="88">
        <f>C162+D162+E162</f>
        <v>0</v>
      </c>
      <c r="G162" s="88"/>
      <c r="H162" s="88"/>
      <c r="I162" s="88">
        <f>F162+G162+H162</f>
        <v>0</v>
      </c>
      <c r="J162" s="88">
        <v>248</v>
      </c>
      <c r="K162" s="88">
        <v>18545</v>
      </c>
      <c r="L162" s="88">
        <f>I162+J162+K162</f>
        <v>18793</v>
      </c>
      <c r="M162" s="88"/>
      <c r="N162" s="88"/>
      <c r="O162" s="88">
        <f>L162+M162+N162</f>
        <v>18793</v>
      </c>
      <c r="P162" s="68"/>
      <c r="Q162" s="69">
        <f t="shared" si="42"/>
        <v>18793</v>
      </c>
    </row>
    <row r="163" spans="1:17" ht="12.75">
      <c r="A163" s="12" t="s">
        <v>94</v>
      </c>
      <c r="B163" s="12"/>
      <c r="C163" s="85">
        <f aca="true" t="shared" si="44" ref="C163:I163">C164+C169</f>
        <v>10174</v>
      </c>
      <c r="D163" s="85">
        <f t="shared" si="44"/>
        <v>0</v>
      </c>
      <c r="E163" s="85">
        <f t="shared" si="44"/>
        <v>0</v>
      </c>
      <c r="F163" s="85">
        <f t="shared" si="44"/>
        <v>10174</v>
      </c>
      <c r="G163" s="85">
        <f t="shared" si="44"/>
        <v>1673</v>
      </c>
      <c r="H163" s="85">
        <f t="shared" si="44"/>
        <v>-1250</v>
      </c>
      <c r="I163" s="85">
        <f t="shared" si="44"/>
        <v>10597</v>
      </c>
      <c r="J163" s="85">
        <f aca="true" t="shared" si="45" ref="J163:O163">J164+J169</f>
        <v>0</v>
      </c>
      <c r="K163" s="85">
        <f t="shared" si="45"/>
        <v>0</v>
      </c>
      <c r="L163" s="85">
        <f t="shared" si="45"/>
        <v>10597</v>
      </c>
      <c r="M163" s="85">
        <f t="shared" si="45"/>
        <v>0</v>
      </c>
      <c r="N163" s="85">
        <f t="shared" si="45"/>
        <v>0</v>
      </c>
      <c r="O163" s="85">
        <f t="shared" si="45"/>
        <v>10597</v>
      </c>
      <c r="P163" s="58"/>
      <c r="Q163" s="7">
        <f>Q164+Q169</f>
        <v>10597</v>
      </c>
    </row>
    <row r="164" spans="1:17" ht="12.75">
      <c r="A164" s="17" t="s">
        <v>69</v>
      </c>
      <c r="B164" s="17"/>
      <c r="C164" s="87">
        <f aca="true" t="shared" si="46" ref="C164:I164">SUM(C166:C168)</f>
        <v>10174</v>
      </c>
      <c r="D164" s="87">
        <f t="shared" si="46"/>
        <v>0</v>
      </c>
      <c r="E164" s="87">
        <f t="shared" si="46"/>
        <v>0</v>
      </c>
      <c r="F164" s="87">
        <f t="shared" si="46"/>
        <v>10174</v>
      </c>
      <c r="G164" s="87">
        <f t="shared" si="46"/>
        <v>1373</v>
      </c>
      <c r="H164" s="87">
        <f t="shared" si="46"/>
        <v>-1250</v>
      </c>
      <c r="I164" s="87">
        <f t="shared" si="46"/>
        <v>10297</v>
      </c>
      <c r="J164" s="87">
        <f aca="true" t="shared" si="47" ref="J164:O164">SUM(J166:J168)</f>
        <v>0</v>
      </c>
      <c r="K164" s="87">
        <f t="shared" si="47"/>
        <v>0</v>
      </c>
      <c r="L164" s="87">
        <f t="shared" si="47"/>
        <v>10297</v>
      </c>
      <c r="M164" s="87">
        <f t="shared" si="47"/>
        <v>0</v>
      </c>
      <c r="N164" s="87">
        <f t="shared" si="47"/>
        <v>0</v>
      </c>
      <c r="O164" s="87">
        <f t="shared" si="47"/>
        <v>10297</v>
      </c>
      <c r="P164" s="60"/>
      <c r="Q164" s="39">
        <f>SUM(Q166:Q168)</f>
        <v>10297</v>
      </c>
    </row>
    <row r="165" spans="1:17" ht="12.75">
      <c r="A165" s="13" t="s">
        <v>38</v>
      </c>
      <c r="B165" s="13"/>
      <c r="C165" s="84"/>
      <c r="D165" s="84"/>
      <c r="E165" s="84"/>
      <c r="F165" s="83"/>
      <c r="G165" s="84"/>
      <c r="H165" s="84"/>
      <c r="I165" s="83"/>
      <c r="J165" s="84"/>
      <c r="K165" s="84"/>
      <c r="L165" s="83"/>
      <c r="M165" s="84"/>
      <c r="N165" s="84"/>
      <c r="O165" s="83"/>
      <c r="P165" s="55"/>
      <c r="Q165" s="53"/>
    </row>
    <row r="166" spans="1:17" ht="12.75">
      <c r="A166" s="11" t="s">
        <v>72</v>
      </c>
      <c r="B166" s="11"/>
      <c r="C166" s="84">
        <v>10174</v>
      </c>
      <c r="D166" s="84"/>
      <c r="E166" s="84"/>
      <c r="F166" s="84">
        <f>SUM(C166:E166)</f>
        <v>10174</v>
      </c>
      <c r="G166" s="84"/>
      <c r="H166" s="84">
        <v>-1250</v>
      </c>
      <c r="I166" s="84">
        <f>SUM(F166:H166)</f>
        <v>8924</v>
      </c>
      <c r="J166" s="84"/>
      <c r="K166" s="84"/>
      <c r="L166" s="84">
        <f>I166+J166+K166</f>
        <v>8924</v>
      </c>
      <c r="M166" s="84"/>
      <c r="N166" s="84"/>
      <c r="O166" s="84">
        <f>L166+M166+N166</f>
        <v>8924</v>
      </c>
      <c r="P166" s="55"/>
      <c r="Q166" s="53">
        <f t="shared" si="42"/>
        <v>8924</v>
      </c>
    </row>
    <row r="167" spans="1:17" ht="12.75">
      <c r="A167" s="15" t="s">
        <v>95</v>
      </c>
      <c r="B167" s="15">
        <v>33166</v>
      </c>
      <c r="C167" s="84"/>
      <c r="D167" s="84"/>
      <c r="E167" s="84"/>
      <c r="F167" s="84">
        <f>SUM(C167:E167)</f>
        <v>0</v>
      </c>
      <c r="G167" s="84">
        <v>1373</v>
      </c>
      <c r="H167" s="84"/>
      <c r="I167" s="84">
        <f>SUM(F167:H167)</f>
        <v>1373</v>
      </c>
      <c r="J167" s="84"/>
      <c r="K167" s="84"/>
      <c r="L167" s="84">
        <f>I167+J167+K167</f>
        <v>1373</v>
      </c>
      <c r="M167" s="84"/>
      <c r="N167" s="84"/>
      <c r="O167" s="84">
        <f>L167+M167+N167</f>
        <v>1373</v>
      </c>
      <c r="P167" s="55"/>
      <c r="Q167" s="53">
        <f t="shared" si="42"/>
        <v>1373</v>
      </c>
    </row>
    <row r="168" spans="1:17" ht="12.75">
      <c r="A168" s="15" t="s">
        <v>87</v>
      </c>
      <c r="B168" s="15"/>
      <c r="C168" s="84"/>
      <c r="D168" s="84"/>
      <c r="E168" s="84"/>
      <c r="F168" s="84">
        <f>SUM(C168:E168)</f>
        <v>0</v>
      </c>
      <c r="G168" s="84"/>
      <c r="H168" s="84"/>
      <c r="I168" s="84">
        <f>SUM(F168:H168)</f>
        <v>0</v>
      </c>
      <c r="J168" s="84"/>
      <c r="K168" s="84"/>
      <c r="L168" s="84">
        <f>I168+J168+K168</f>
        <v>0</v>
      </c>
      <c r="M168" s="84"/>
      <c r="N168" s="84"/>
      <c r="O168" s="84">
        <f>L168+M168+N168</f>
        <v>0</v>
      </c>
      <c r="P168" s="55"/>
      <c r="Q168" s="53">
        <f t="shared" si="42"/>
        <v>0</v>
      </c>
    </row>
    <row r="169" spans="1:17" ht="12.75">
      <c r="A169" s="17" t="s">
        <v>75</v>
      </c>
      <c r="B169" s="17"/>
      <c r="C169" s="87">
        <f>C172+C171</f>
        <v>0</v>
      </c>
      <c r="D169" s="87">
        <f>D172</f>
        <v>0</v>
      </c>
      <c r="E169" s="87"/>
      <c r="F169" s="87">
        <f>F172+F171</f>
        <v>0</v>
      </c>
      <c r="G169" s="87">
        <f>G172+G171</f>
        <v>300</v>
      </c>
      <c r="H169" s="87">
        <f>H172</f>
        <v>0</v>
      </c>
      <c r="I169" s="87">
        <f aca="true" t="shared" si="48" ref="I169:O169">I172+I171</f>
        <v>300</v>
      </c>
      <c r="J169" s="87">
        <f t="shared" si="48"/>
        <v>0</v>
      </c>
      <c r="K169" s="87">
        <f t="shared" si="48"/>
        <v>0</v>
      </c>
      <c r="L169" s="87">
        <f t="shared" si="48"/>
        <v>300</v>
      </c>
      <c r="M169" s="87">
        <f t="shared" si="48"/>
        <v>0</v>
      </c>
      <c r="N169" s="87">
        <f t="shared" si="48"/>
        <v>0</v>
      </c>
      <c r="O169" s="87">
        <f t="shared" si="48"/>
        <v>300</v>
      </c>
      <c r="P169" s="60"/>
      <c r="Q169" s="39">
        <f>Q172+Q171</f>
        <v>300</v>
      </c>
    </row>
    <row r="170" spans="1:17" ht="12.75">
      <c r="A170" s="13" t="s">
        <v>38</v>
      </c>
      <c r="B170" s="13"/>
      <c r="C170" s="84"/>
      <c r="D170" s="84"/>
      <c r="E170" s="84"/>
      <c r="F170" s="83"/>
      <c r="G170" s="84"/>
      <c r="H170" s="84"/>
      <c r="I170" s="83"/>
      <c r="J170" s="84"/>
      <c r="K170" s="84"/>
      <c r="L170" s="83"/>
      <c r="M170" s="84"/>
      <c r="N170" s="84"/>
      <c r="O170" s="83"/>
      <c r="P170" s="55"/>
      <c r="Q170" s="53"/>
    </row>
    <row r="171" spans="1:17" ht="12.75">
      <c r="A171" s="14" t="s">
        <v>313</v>
      </c>
      <c r="B171" s="14"/>
      <c r="C171" s="88"/>
      <c r="D171" s="88"/>
      <c r="E171" s="88"/>
      <c r="F171" s="88">
        <f>C171+D171+E171</f>
        <v>0</v>
      </c>
      <c r="G171" s="88">
        <v>300</v>
      </c>
      <c r="H171" s="88"/>
      <c r="I171" s="88">
        <f>SUM(F171:H171)</f>
        <v>300</v>
      </c>
      <c r="J171" s="88"/>
      <c r="K171" s="88"/>
      <c r="L171" s="88">
        <f>I171+J171+K171</f>
        <v>300</v>
      </c>
      <c r="M171" s="88"/>
      <c r="N171" s="88"/>
      <c r="O171" s="88">
        <f>L171+M171+N171</f>
        <v>300</v>
      </c>
      <c r="P171" s="68"/>
      <c r="Q171" s="69">
        <f t="shared" si="42"/>
        <v>300</v>
      </c>
    </row>
    <row r="172" spans="1:17" ht="12.75" hidden="1">
      <c r="A172" s="14" t="s">
        <v>89</v>
      </c>
      <c r="B172" s="14"/>
      <c r="C172" s="88"/>
      <c r="D172" s="88"/>
      <c r="E172" s="88"/>
      <c r="F172" s="88">
        <f>SUM(C172:E172)</f>
        <v>0</v>
      </c>
      <c r="G172" s="88"/>
      <c r="H172" s="88"/>
      <c r="I172" s="88">
        <f>SUM(F172:H172)</f>
        <v>0</v>
      </c>
      <c r="J172" s="88"/>
      <c r="K172" s="88"/>
      <c r="L172" s="88">
        <f>I172+J172+K172</f>
        <v>0</v>
      </c>
      <c r="M172" s="88"/>
      <c r="N172" s="88"/>
      <c r="O172" s="88">
        <f>L172+M172+N172</f>
        <v>0</v>
      </c>
      <c r="P172" s="55"/>
      <c r="Q172" s="53">
        <f t="shared" si="42"/>
        <v>0</v>
      </c>
    </row>
    <row r="173" spans="1:17" ht="12.75">
      <c r="A173" s="8" t="s">
        <v>96</v>
      </c>
      <c r="B173" s="8"/>
      <c r="C173" s="83">
        <f aca="true" t="shared" si="49" ref="C173:I173">C174+C186</f>
        <v>1108760</v>
      </c>
      <c r="D173" s="83">
        <f t="shared" si="49"/>
        <v>-11000</v>
      </c>
      <c r="E173" s="83">
        <f t="shared" si="49"/>
        <v>6673</v>
      </c>
      <c r="F173" s="83">
        <f t="shared" si="49"/>
        <v>1104433</v>
      </c>
      <c r="G173" s="83">
        <f t="shared" si="49"/>
        <v>23308.2</v>
      </c>
      <c r="H173" s="83">
        <f t="shared" si="49"/>
        <v>0</v>
      </c>
      <c r="I173" s="83">
        <f t="shared" si="49"/>
        <v>1127741.2000000002</v>
      </c>
      <c r="J173" s="83">
        <f aca="true" t="shared" si="50" ref="J173:O173">J174+J186</f>
        <v>256762.9</v>
      </c>
      <c r="K173" s="83">
        <f t="shared" si="50"/>
        <v>0</v>
      </c>
      <c r="L173" s="83">
        <f t="shared" si="50"/>
        <v>1384504.1</v>
      </c>
      <c r="M173" s="83">
        <f t="shared" si="50"/>
        <v>76134.3</v>
      </c>
      <c r="N173" s="83">
        <f t="shared" si="50"/>
        <v>0</v>
      </c>
      <c r="O173" s="83">
        <f t="shared" si="50"/>
        <v>1460638.4</v>
      </c>
      <c r="P173" s="56"/>
      <c r="Q173" s="38">
        <f>Q174+Q186</f>
        <v>1394845.4</v>
      </c>
    </row>
    <row r="174" spans="1:17" ht="12.75">
      <c r="A174" s="17" t="s">
        <v>69</v>
      </c>
      <c r="B174" s="17"/>
      <c r="C174" s="87">
        <f aca="true" t="shared" si="51" ref="C174:I174">SUM(C177:C185)</f>
        <v>1094760</v>
      </c>
      <c r="D174" s="87">
        <f t="shared" si="51"/>
        <v>3000</v>
      </c>
      <c r="E174" s="87">
        <f t="shared" si="51"/>
        <v>6673</v>
      </c>
      <c r="F174" s="87">
        <f t="shared" si="51"/>
        <v>1104433</v>
      </c>
      <c r="G174" s="87">
        <f t="shared" si="51"/>
        <v>20008.2</v>
      </c>
      <c r="H174" s="87">
        <f t="shared" si="51"/>
        <v>0</v>
      </c>
      <c r="I174" s="87">
        <f t="shared" si="51"/>
        <v>1124441.2000000002</v>
      </c>
      <c r="J174" s="87">
        <f aca="true" t="shared" si="52" ref="J174:O174">SUM(J177:J185)</f>
        <v>256762.9</v>
      </c>
      <c r="K174" s="87">
        <f t="shared" si="52"/>
        <v>0</v>
      </c>
      <c r="L174" s="87">
        <f t="shared" si="52"/>
        <v>1381204.1</v>
      </c>
      <c r="M174" s="87">
        <f t="shared" si="52"/>
        <v>76134.3</v>
      </c>
      <c r="N174" s="87">
        <f t="shared" si="52"/>
        <v>0</v>
      </c>
      <c r="O174" s="87">
        <f t="shared" si="52"/>
        <v>1457338.4</v>
      </c>
      <c r="P174" s="60"/>
      <c r="Q174" s="39">
        <f>SUM(Q177:Q185)</f>
        <v>1391545.4</v>
      </c>
    </row>
    <row r="175" spans="1:17" ht="12.75">
      <c r="A175" s="13" t="s">
        <v>38</v>
      </c>
      <c r="B175" s="13"/>
      <c r="C175" s="84"/>
      <c r="D175" s="84"/>
      <c r="E175" s="84"/>
      <c r="F175" s="83"/>
      <c r="G175" s="84"/>
      <c r="H175" s="84"/>
      <c r="I175" s="83"/>
      <c r="J175" s="84"/>
      <c r="K175" s="84"/>
      <c r="L175" s="83"/>
      <c r="M175" s="84"/>
      <c r="N175" s="84"/>
      <c r="O175" s="83"/>
      <c r="P175" s="55"/>
      <c r="Q175" s="53"/>
    </row>
    <row r="176" spans="1:17" ht="12.75">
      <c r="A176" s="15" t="s">
        <v>97</v>
      </c>
      <c r="B176" s="15"/>
      <c r="C176" s="84">
        <f>C177+C178</f>
        <v>629800</v>
      </c>
      <c r="D176" s="84">
        <f>D177+D178</f>
        <v>3000</v>
      </c>
      <c r="E176" s="84">
        <f>E177+E178</f>
        <v>6673</v>
      </c>
      <c r="F176" s="84">
        <f>F177+F178</f>
        <v>639473</v>
      </c>
      <c r="G176" s="84">
        <f>G177+G178</f>
        <v>20007.8</v>
      </c>
      <c r="H176" s="84"/>
      <c r="I176" s="84">
        <f>I177+I178</f>
        <v>659480.8</v>
      </c>
      <c r="J176" s="84"/>
      <c r="K176" s="84"/>
      <c r="L176" s="84">
        <f>L177+L178</f>
        <v>661640.7</v>
      </c>
      <c r="M176" s="84">
        <f>M177+M178</f>
        <v>358.8</v>
      </c>
      <c r="N176" s="84"/>
      <c r="O176" s="84">
        <f>O177+O178</f>
        <v>661999.5</v>
      </c>
      <c r="P176" s="55"/>
      <c r="Q176" s="53">
        <f t="shared" si="42"/>
        <v>661999.5</v>
      </c>
    </row>
    <row r="177" spans="1:17" ht="12.75">
      <c r="A177" s="15" t="s">
        <v>98</v>
      </c>
      <c r="B177" s="15"/>
      <c r="C177" s="84">
        <v>266800</v>
      </c>
      <c r="D177" s="84">
        <v>3000</v>
      </c>
      <c r="E177" s="84"/>
      <c r="F177" s="84">
        <f aca="true" t="shared" si="53" ref="F177:F185">C177+D177+E177</f>
        <v>269800</v>
      </c>
      <c r="G177" s="84">
        <f>20000+7.8</f>
        <v>20007.8</v>
      </c>
      <c r="H177" s="99"/>
      <c r="I177" s="84">
        <f aca="true" t="shared" si="54" ref="I177:I185">F177+G177+H177</f>
        <v>289807.8</v>
      </c>
      <c r="J177" s="84">
        <v>2159.9</v>
      </c>
      <c r="K177" s="84"/>
      <c r="L177" s="84">
        <f aca="true" t="shared" si="55" ref="L177:L185">I177+J177+K177</f>
        <v>291967.7</v>
      </c>
      <c r="M177" s="84">
        <v>358.8</v>
      </c>
      <c r="N177" s="84"/>
      <c r="O177" s="84">
        <f aca="true" t="shared" si="56" ref="O177:O185">L177+M177+N177</f>
        <v>292326.5</v>
      </c>
      <c r="P177" s="55"/>
      <c r="Q177" s="53">
        <f t="shared" si="42"/>
        <v>292326.5</v>
      </c>
    </row>
    <row r="178" spans="1:17" ht="12.75">
      <c r="A178" s="11" t="s">
        <v>99</v>
      </c>
      <c r="B178" s="11"/>
      <c r="C178" s="84">
        <v>363000</v>
      </c>
      <c r="D178" s="84"/>
      <c r="E178" s="84">
        <v>6673</v>
      </c>
      <c r="F178" s="84">
        <f t="shared" si="53"/>
        <v>369673</v>
      </c>
      <c r="G178" s="99"/>
      <c r="H178" s="99"/>
      <c r="I178" s="84">
        <f t="shared" si="54"/>
        <v>369673</v>
      </c>
      <c r="J178" s="84"/>
      <c r="K178" s="84"/>
      <c r="L178" s="84">
        <f t="shared" si="55"/>
        <v>369673</v>
      </c>
      <c r="M178" s="84"/>
      <c r="N178" s="84"/>
      <c r="O178" s="84">
        <f t="shared" si="56"/>
        <v>369673</v>
      </c>
      <c r="P178" s="55"/>
      <c r="Q178" s="53">
        <f t="shared" si="42"/>
        <v>369673</v>
      </c>
    </row>
    <row r="179" spans="1:17" ht="12.75">
      <c r="A179" s="15" t="s">
        <v>100</v>
      </c>
      <c r="B179" s="15"/>
      <c r="C179" s="84">
        <v>22000</v>
      </c>
      <c r="D179" s="84"/>
      <c r="E179" s="84"/>
      <c r="F179" s="84">
        <f t="shared" si="53"/>
        <v>22000</v>
      </c>
      <c r="G179" s="84"/>
      <c r="H179" s="84"/>
      <c r="I179" s="84">
        <f t="shared" si="54"/>
        <v>22000</v>
      </c>
      <c r="J179" s="84"/>
      <c r="K179" s="84"/>
      <c r="L179" s="84">
        <f t="shared" si="55"/>
        <v>22000</v>
      </c>
      <c r="M179" s="84"/>
      <c r="N179" s="84"/>
      <c r="O179" s="84">
        <f t="shared" si="56"/>
        <v>22000</v>
      </c>
      <c r="P179" s="55"/>
      <c r="Q179" s="53">
        <f t="shared" si="42"/>
        <v>22000</v>
      </c>
    </row>
    <row r="180" spans="1:17" ht="12.75">
      <c r="A180" s="11" t="s">
        <v>101</v>
      </c>
      <c r="B180" s="11"/>
      <c r="C180" s="84">
        <v>9410</v>
      </c>
      <c r="D180" s="84"/>
      <c r="E180" s="84"/>
      <c r="F180" s="84">
        <f t="shared" si="53"/>
        <v>9410</v>
      </c>
      <c r="G180" s="84"/>
      <c r="H180" s="84"/>
      <c r="I180" s="84">
        <f t="shared" si="54"/>
        <v>9410</v>
      </c>
      <c r="J180" s="84"/>
      <c r="K180" s="84"/>
      <c r="L180" s="84">
        <f t="shared" si="55"/>
        <v>9410</v>
      </c>
      <c r="M180" s="84"/>
      <c r="N180" s="84"/>
      <c r="O180" s="84">
        <f t="shared" si="56"/>
        <v>9410</v>
      </c>
      <c r="P180" s="55"/>
      <c r="Q180" s="53">
        <f t="shared" si="42"/>
        <v>9410</v>
      </c>
    </row>
    <row r="181" spans="1:17" ht="12.75" hidden="1">
      <c r="A181" s="11" t="s">
        <v>102</v>
      </c>
      <c r="B181" s="11"/>
      <c r="C181" s="84"/>
      <c r="D181" s="84"/>
      <c r="E181" s="84"/>
      <c r="F181" s="84">
        <f t="shared" si="53"/>
        <v>0</v>
      </c>
      <c r="G181" s="84"/>
      <c r="H181" s="84"/>
      <c r="I181" s="84">
        <f t="shared" si="54"/>
        <v>0</v>
      </c>
      <c r="J181" s="84"/>
      <c r="K181" s="84"/>
      <c r="L181" s="84">
        <f t="shared" si="55"/>
        <v>0</v>
      </c>
      <c r="M181" s="84"/>
      <c r="N181" s="84"/>
      <c r="O181" s="84">
        <f t="shared" si="56"/>
        <v>0</v>
      </c>
      <c r="P181" s="55"/>
      <c r="Q181" s="53">
        <f t="shared" si="42"/>
        <v>0</v>
      </c>
    </row>
    <row r="182" spans="1:17" ht="12.75">
      <c r="A182" s="11" t="s">
        <v>196</v>
      </c>
      <c r="B182" s="11">
        <v>27355</v>
      </c>
      <c r="C182" s="84"/>
      <c r="D182" s="84"/>
      <c r="E182" s="84"/>
      <c r="F182" s="84">
        <f t="shared" si="53"/>
        <v>0</v>
      </c>
      <c r="G182" s="84"/>
      <c r="H182" s="84"/>
      <c r="I182" s="84">
        <f t="shared" si="54"/>
        <v>0</v>
      </c>
      <c r="J182" s="84">
        <v>254603</v>
      </c>
      <c r="K182" s="84"/>
      <c r="L182" s="84">
        <f t="shared" si="55"/>
        <v>254603</v>
      </c>
      <c r="M182" s="84"/>
      <c r="N182" s="84"/>
      <c r="O182" s="84">
        <f t="shared" si="56"/>
        <v>254603</v>
      </c>
      <c r="P182" s="55"/>
      <c r="Q182" s="53">
        <f t="shared" si="42"/>
        <v>254603</v>
      </c>
    </row>
    <row r="183" spans="1:17" ht="12.75">
      <c r="A183" s="11" t="s">
        <v>368</v>
      </c>
      <c r="B183" s="11">
        <v>91252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>
        <f t="shared" si="55"/>
        <v>0</v>
      </c>
      <c r="M183" s="84">
        <v>65793</v>
      </c>
      <c r="N183" s="84"/>
      <c r="O183" s="84">
        <f t="shared" si="56"/>
        <v>65793</v>
      </c>
      <c r="P183" s="55"/>
      <c r="Q183" s="53"/>
    </row>
    <row r="184" spans="1:17" ht="12.75">
      <c r="A184" s="11" t="s">
        <v>72</v>
      </c>
      <c r="B184" s="11"/>
      <c r="C184" s="84">
        <v>433550</v>
      </c>
      <c r="D184" s="84"/>
      <c r="E184" s="84"/>
      <c r="F184" s="84">
        <f t="shared" si="53"/>
        <v>433550</v>
      </c>
      <c r="G184" s="84">
        <v>0.4</v>
      </c>
      <c r="H184" s="84"/>
      <c r="I184" s="84">
        <f t="shared" si="54"/>
        <v>433550.4</v>
      </c>
      <c r="J184" s="84"/>
      <c r="K184" s="84"/>
      <c r="L184" s="84">
        <f t="shared" si="55"/>
        <v>433550.4</v>
      </c>
      <c r="M184" s="84">
        <f>10198.6+130-346.1</f>
        <v>9982.5</v>
      </c>
      <c r="N184" s="84"/>
      <c r="O184" s="84">
        <f t="shared" si="56"/>
        <v>443532.9</v>
      </c>
      <c r="P184" s="55"/>
      <c r="Q184" s="53">
        <f t="shared" si="42"/>
        <v>443532.9</v>
      </c>
    </row>
    <row r="185" spans="1:17" ht="12" customHeight="1" hidden="1">
      <c r="A185" s="11" t="s">
        <v>103</v>
      </c>
      <c r="B185" s="11"/>
      <c r="C185" s="84"/>
      <c r="D185" s="84"/>
      <c r="E185" s="84"/>
      <c r="F185" s="99">
        <f t="shared" si="53"/>
        <v>0</v>
      </c>
      <c r="G185" s="84"/>
      <c r="H185" s="84"/>
      <c r="I185" s="84">
        <f t="shared" si="54"/>
        <v>0</v>
      </c>
      <c r="J185" s="84"/>
      <c r="K185" s="84"/>
      <c r="L185" s="84">
        <f t="shared" si="55"/>
        <v>0</v>
      </c>
      <c r="M185" s="84"/>
      <c r="N185" s="84"/>
      <c r="O185" s="84">
        <f t="shared" si="56"/>
        <v>0</v>
      </c>
      <c r="P185" s="55"/>
      <c r="Q185" s="53">
        <f t="shared" si="42"/>
        <v>0</v>
      </c>
    </row>
    <row r="186" spans="1:17" ht="12.75">
      <c r="A186" s="18" t="s">
        <v>75</v>
      </c>
      <c r="B186" s="18"/>
      <c r="C186" s="89">
        <f aca="true" t="shared" si="57" ref="C186:O186">SUM(C188:C193)</f>
        <v>14000</v>
      </c>
      <c r="D186" s="89">
        <f t="shared" si="57"/>
        <v>-14000</v>
      </c>
      <c r="E186" s="89">
        <f t="shared" si="57"/>
        <v>0</v>
      </c>
      <c r="F186" s="89">
        <f t="shared" si="57"/>
        <v>0</v>
      </c>
      <c r="G186" s="89">
        <f t="shared" si="57"/>
        <v>3300</v>
      </c>
      <c r="H186" s="89">
        <f t="shared" si="57"/>
        <v>0</v>
      </c>
      <c r="I186" s="89">
        <f t="shared" si="57"/>
        <v>3300</v>
      </c>
      <c r="J186" s="89">
        <f t="shared" si="57"/>
        <v>0</v>
      </c>
      <c r="K186" s="89">
        <f t="shared" si="57"/>
        <v>0</v>
      </c>
      <c r="L186" s="89">
        <f t="shared" si="57"/>
        <v>3300</v>
      </c>
      <c r="M186" s="89">
        <f t="shared" si="57"/>
        <v>0</v>
      </c>
      <c r="N186" s="89">
        <f t="shared" si="57"/>
        <v>0</v>
      </c>
      <c r="O186" s="89">
        <f t="shared" si="57"/>
        <v>3300</v>
      </c>
      <c r="P186" s="61"/>
      <c r="Q186" s="49">
        <f>SUM(Q188:Q193)</f>
        <v>3300</v>
      </c>
    </row>
    <row r="187" spans="1:17" ht="12.75">
      <c r="A187" s="9" t="s">
        <v>38</v>
      </c>
      <c r="B187" s="9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55"/>
      <c r="Q187" s="53"/>
    </row>
    <row r="188" spans="1:17" ht="12.75">
      <c r="A188" s="10" t="s">
        <v>76</v>
      </c>
      <c r="B188" s="10"/>
      <c r="C188" s="84">
        <v>14000</v>
      </c>
      <c r="D188" s="84">
        <v>-14000</v>
      </c>
      <c r="E188" s="84"/>
      <c r="F188" s="84">
        <f aca="true" t="shared" si="58" ref="F188:F193">C188+D188+E188</f>
        <v>0</v>
      </c>
      <c r="G188" s="84"/>
      <c r="H188" s="84"/>
      <c r="I188" s="84">
        <f aca="true" t="shared" si="59" ref="I188:I193">F188+G188+H188</f>
        <v>0</v>
      </c>
      <c r="J188" s="84"/>
      <c r="K188" s="84"/>
      <c r="L188" s="84">
        <f aca="true" t="shared" si="60" ref="L188:L193">I188+J188+K188</f>
        <v>0</v>
      </c>
      <c r="M188" s="84"/>
      <c r="N188" s="84"/>
      <c r="O188" s="84">
        <f aca="true" t="shared" si="61" ref="O188:O193">L188+M188+N188</f>
        <v>0</v>
      </c>
      <c r="P188" s="55"/>
      <c r="Q188" s="53">
        <f t="shared" si="42"/>
        <v>0</v>
      </c>
    </row>
    <row r="189" spans="1:17" ht="12.75">
      <c r="A189" s="14" t="s">
        <v>322</v>
      </c>
      <c r="B189" s="14"/>
      <c r="C189" s="88"/>
      <c r="D189" s="88"/>
      <c r="E189" s="88"/>
      <c r="F189" s="88">
        <f t="shared" si="58"/>
        <v>0</v>
      </c>
      <c r="G189" s="88">
        <v>3300</v>
      </c>
      <c r="H189" s="88"/>
      <c r="I189" s="88">
        <f t="shared" si="59"/>
        <v>3300</v>
      </c>
      <c r="J189" s="88"/>
      <c r="K189" s="88"/>
      <c r="L189" s="88">
        <f t="shared" si="60"/>
        <v>3300</v>
      </c>
      <c r="M189" s="88"/>
      <c r="N189" s="88"/>
      <c r="O189" s="88">
        <f t="shared" si="61"/>
        <v>3300</v>
      </c>
      <c r="P189" s="55"/>
      <c r="Q189" s="53">
        <f t="shared" si="42"/>
        <v>3300</v>
      </c>
    </row>
    <row r="190" spans="1:17" ht="12.75" hidden="1">
      <c r="A190" s="11" t="s">
        <v>105</v>
      </c>
      <c r="B190" s="11"/>
      <c r="C190" s="84"/>
      <c r="D190" s="84"/>
      <c r="E190" s="84"/>
      <c r="F190" s="84">
        <f t="shared" si="58"/>
        <v>0</v>
      </c>
      <c r="G190" s="84"/>
      <c r="H190" s="84"/>
      <c r="I190" s="84">
        <f t="shared" si="59"/>
        <v>0</v>
      </c>
      <c r="J190" s="84"/>
      <c r="K190" s="84"/>
      <c r="L190" s="84">
        <f t="shared" si="60"/>
        <v>0</v>
      </c>
      <c r="M190" s="84"/>
      <c r="N190" s="84"/>
      <c r="O190" s="84">
        <f t="shared" si="61"/>
        <v>0</v>
      </c>
      <c r="P190" s="55"/>
      <c r="Q190" s="53">
        <f t="shared" si="42"/>
        <v>0</v>
      </c>
    </row>
    <row r="191" spans="1:17" ht="12.75" hidden="1">
      <c r="A191" s="11" t="s">
        <v>208</v>
      </c>
      <c r="B191" s="11"/>
      <c r="C191" s="84"/>
      <c r="D191" s="84"/>
      <c r="E191" s="84"/>
      <c r="F191" s="84">
        <f t="shared" si="58"/>
        <v>0</v>
      </c>
      <c r="G191" s="84"/>
      <c r="H191" s="84"/>
      <c r="I191" s="84">
        <f t="shared" si="59"/>
        <v>0</v>
      </c>
      <c r="J191" s="84"/>
      <c r="K191" s="84"/>
      <c r="L191" s="84">
        <f t="shared" si="60"/>
        <v>0</v>
      </c>
      <c r="M191" s="84"/>
      <c r="N191" s="84"/>
      <c r="O191" s="84">
        <f t="shared" si="61"/>
        <v>0</v>
      </c>
      <c r="P191" s="55"/>
      <c r="Q191" s="53">
        <f t="shared" si="42"/>
        <v>0</v>
      </c>
    </row>
    <row r="192" spans="1:17" ht="12.75" hidden="1">
      <c r="A192" s="11" t="s">
        <v>106</v>
      </c>
      <c r="B192" s="11"/>
      <c r="C192" s="84"/>
      <c r="D192" s="84"/>
      <c r="E192" s="84"/>
      <c r="F192" s="84">
        <f t="shared" si="58"/>
        <v>0</v>
      </c>
      <c r="G192" s="84"/>
      <c r="H192" s="84"/>
      <c r="I192" s="84">
        <f t="shared" si="59"/>
        <v>0</v>
      </c>
      <c r="J192" s="84"/>
      <c r="K192" s="84"/>
      <c r="L192" s="84">
        <f t="shared" si="60"/>
        <v>0</v>
      </c>
      <c r="M192" s="91"/>
      <c r="N192" s="84"/>
      <c r="O192" s="84">
        <f t="shared" si="61"/>
        <v>0</v>
      </c>
      <c r="P192" s="55"/>
      <c r="Q192" s="53">
        <f t="shared" si="42"/>
        <v>0</v>
      </c>
    </row>
    <row r="193" spans="1:17" ht="12.75" hidden="1">
      <c r="A193" s="14" t="s">
        <v>102</v>
      </c>
      <c r="B193" s="14"/>
      <c r="C193" s="88"/>
      <c r="D193" s="88"/>
      <c r="E193" s="88"/>
      <c r="F193" s="88">
        <f t="shared" si="58"/>
        <v>0</v>
      </c>
      <c r="G193" s="88"/>
      <c r="H193" s="88"/>
      <c r="I193" s="88">
        <f t="shared" si="59"/>
        <v>0</v>
      </c>
      <c r="J193" s="88"/>
      <c r="K193" s="88"/>
      <c r="L193" s="88">
        <f t="shared" si="60"/>
        <v>0</v>
      </c>
      <c r="M193" s="88"/>
      <c r="N193" s="88"/>
      <c r="O193" s="88">
        <f t="shared" si="61"/>
        <v>0</v>
      </c>
      <c r="P193" s="55"/>
      <c r="Q193" s="53">
        <f t="shared" si="42"/>
        <v>0</v>
      </c>
    </row>
    <row r="194" spans="1:17" ht="12.75">
      <c r="A194" s="8" t="s">
        <v>107</v>
      </c>
      <c r="B194" s="8"/>
      <c r="C194" s="83">
        <f aca="true" t="shared" si="62" ref="C194:I194">C195+C200</f>
        <v>4280</v>
      </c>
      <c r="D194" s="83">
        <f t="shared" si="62"/>
        <v>0</v>
      </c>
      <c r="E194" s="83">
        <f t="shared" si="62"/>
        <v>4089.6</v>
      </c>
      <c r="F194" s="83">
        <f t="shared" si="62"/>
        <v>8369.6</v>
      </c>
      <c r="G194" s="83">
        <f t="shared" si="62"/>
        <v>0</v>
      </c>
      <c r="H194" s="83">
        <f t="shared" si="62"/>
        <v>0</v>
      </c>
      <c r="I194" s="83">
        <f t="shared" si="62"/>
        <v>8369.6</v>
      </c>
      <c r="J194" s="83">
        <f aca="true" t="shared" si="63" ref="J194:O194">J195+J200</f>
        <v>1224.4</v>
      </c>
      <c r="K194" s="83">
        <f t="shared" si="63"/>
        <v>0</v>
      </c>
      <c r="L194" s="83">
        <f t="shared" si="63"/>
        <v>9594</v>
      </c>
      <c r="M194" s="83">
        <f t="shared" si="63"/>
        <v>2420</v>
      </c>
      <c r="N194" s="83">
        <f t="shared" si="63"/>
        <v>0</v>
      </c>
      <c r="O194" s="83">
        <f t="shared" si="63"/>
        <v>12014</v>
      </c>
      <c r="P194" s="56"/>
      <c r="Q194" s="38">
        <f>Q195+Q200</f>
        <v>11664</v>
      </c>
    </row>
    <row r="195" spans="1:17" ht="12.75">
      <c r="A195" s="17" t="s">
        <v>69</v>
      </c>
      <c r="B195" s="17"/>
      <c r="C195" s="87">
        <f aca="true" t="shared" si="64" ref="C195:I195">SUM(C197:C199)</f>
        <v>4280</v>
      </c>
      <c r="D195" s="87">
        <f t="shared" si="64"/>
        <v>0</v>
      </c>
      <c r="E195" s="87">
        <f t="shared" si="64"/>
        <v>3237.6</v>
      </c>
      <c r="F195" s="87">
        <f t="shared" si="64"/>
        <v>7517.6</v>
      </c>
      <c r="G195" s="87">
        <f t="shared" si="64"/>
        <v>0</v>
      </c>
      <c r="H195" s="87">
        <f t="shared" si="64"/>
        <v>0</v>
      </c>
      <c r="I195" s="87">
        <f t="shared" si="64"/>
        <v>7517.6</v>
      </c>
      <c r="J195" s="87">
        <f aca="true" t="shared" si="65" ref="J195:O195">SUM(J197:J199)</f>
        <v>874.4</v>
      </c>
      <c r="K195" s="87">
        <f t="shared" si="65"/>
        <v>0</v>
      </c>
      <c r="L195" s="87">
        <f t="shared" si="65"/>
        <v>8392</v>
      </c>
      <c r="M195" s="87">
        <f t="shared" si="65"/>
        <v>1628</v>
      </c>
      <c r="N195" s="87">
        <f t="shared" si="65"/>
        <v>0</v>
      </c>
      <c r="O195" s="87">
        <f t="shared" si="65"/>
        <v>10020</v>
      </c>
      <c r="P195" s="60"/>
      <c r="Q195" s="39">
        <f>SUM(Q197:Q199)</f>
        <v>10020</v>
      </c>
    </row>
    <row r="196" spans="1:17" ht="12.75">
      <c r="A196" s="13" t="s">
        <v>38</v>
      </c>
      <c r="B196" s="13"/>
      <c r="C196" s="84"/>
      <c r="D196" s="84"/>
      <c r="E196" s="84"/>
      <c r="F196" s="83"/>
      <c r="G196" s="84"/>
      <c r="H196" s="84"/>
      <c r="I196" s="83"/>
      <c r="J196" s="84"/>
      <c r="K196" s="84"/>
      <c r="L196" s="83"/>
      <c r="M196" s="84"/>
      <c r="N196" s="84"/>
      <c r="O196" s="83"/>
      <c r="P196" s="55"/>
      <c r="Q196" s="53"/>
    </row>
    <row r="197" spans="1:17" ht="12.75">
      <c r="A197" s="11" t="s">
        <v>72</v>
      </c>
      <c r="B197" s="11"/>
      <c r="C197" s="84">
        <v>4280</v>
      </c>
      <c r="D197" s="84"/>
      <c r="E197" s="84"/>
      <c r="F197" s="84">
        <f>C197+D197+E197</f>
        <v>4280</v>
      </c>
      <c r="G197" s="84"/>
      <c r="H197" s="84"/>
      <c r="I197" s="84">
        <f>F197+G197+H197</f>
        <v>4280</v>
      </c>
      <c r="J197" s="84">
        <f>600+74.4</f>
        <v>674.4</v>
      </c>
      <c r="K197" s="84"/>
      <c r="L197" s="84">
        <f>I197+J197+K197</f>
        <v>4954.4</v>
      </c>
      <c r="M197" s="84">
        <f>-6-200+120</f>
        <v>-86</v>
      </c>
      <c r="N197" s="84"/>
      <c r="O197" s="84">
        <f>L197+M197+N197</f>
        <v>4868.4</v>
      </c>
      <c r="P197" s="55"/>
      <c r="Q197" s="53">
        <f t="shared" si="42"/>
        <v>4868.4</v>
      </c>
    </row>
    <row r="198" spans="1:17" ht="12.75">
      <c r="A198" s="11" t="s">
        <v>87</v>
      </c>
      <c r="B198" s="11"/>
      <c r="C198" s="84"/>
      <c r="D198" s="84"/>
      <c r="E198" s="84"/>
      <c r="F198" s="84">
        <f>C198+D198+E198</f>
        <v>0</v>
      </c>
      <c r="G198" s="84"/>
      <c r="H198" s="84"/>
      <c r="I198" s="84"/>
      <c r="J198" s="84">
        <v>200</v>
      </c>
      <c r="K198" s="84"/>
      <c r="L198" s="84">
        <f>I198+J198+K198</f>
        <v>200</v>
      </c>
      <c r="M198" s="84"/>
      <c r="N198" s="84"/>
      <c r="O198" s="84">
        <f>L198+M198+N198</f>
        <v>200</v>
      </c>
      <c r="P198" s="55"/>
      <c r="Q198" s="53">
        <f t="shared" si="42"/>
        <v>200</v>
      </c>
    </row>
    <row r="199" spans="1:17" ht="14.25" customHeight="1">
      <c r="A199" s="11" t="s">
        <v>104</v>
      </c>
      <c r="B199" s="11"/>
      <c r="C199" s="84"/>
      <c r="D199" s="84"/>
      <c r="E199" s="84">
        <v>3237.6</v>
      </c>
      <c r="F199" s="84">
        <f>C199+D199+E199</f>
        <v>3237.6</v>
      </c>
      <c r="G199" s="84"/>
      <c r="H199" s="84"/>
      <c r="I199" s="84">
        <f>F199+G199+H199</f>
        <v>3237.6</v>
      </c>
      <c r="J199" s="84"/>
      <c r="K199" s="84"/>
      <c r="L199" s="84">
        <f>I199+J199+K199</f>
        <v>3237.6</v>
      </c>
      <c r="M199" s="84">
        <f>1708+6</f>
        <v>1714</v>
      </c>
      <c r="N199" s="84"/>
      <c r="O199" s="84">
        <f>L199+M199+N199</f>
        <v>4951.6</v>
      </c>
      <c r="P199" s="68"/>
      <c r="Q199" s="69">
        <f t="shared" si="42"/>
        <v>4951.6</v>
      </c>
    </row>
    <row r="200" spans="1:17" ht="12.75">
      <c r="A200" s="18" t="s">
        <v>75</v>
      </c>
      <c r="B200" s="18"/>
      <c r="C200" s="89">
        <f>C203+C202</f>
        <v>0</v>
      </c>
      <c r="D200" s="89">
        <f aca="true" t="shared" si="66" ref="D200:O200">D203+D202</f>
        <v>0</v>
      </c>
      <c r="E200" s="89">
        <f t="shared" si="66"/>
        <v>852</v>
      </c>
      <c r="F200" s="89">
        <f t="shared" si="66"/>
        <v>852</v>
      </c>
      <c r="G200" s="89">
        <f t="shared" si="66"/>
        <v>0</v>
      </c>
      <c r="H200" s="89">
        <f t="shared" si="66"/>
        <v>0</v>
      </c>
      <c r="I200" s="89">
        <f t="shared" si="66"/>
        <v>852</v>
      </c>
      <c r="J200" s="89">
        <f t="shared" si="66"/>
        <v>350</v>
      </c>
      <c r="K200" s="89">
        <f t="shared" si="66"/>
        <v>0</v>
      </c>
      <c r="L200" s="89">
        <f t="shared" si="66"/>
        <v>1202</v>
      </c>
      <c r="M200" s="89">
        <f t="shared" si="66"/>
        <v>792</v>
      </c>
      <c r="N200" s="89">
        <f t="shared" si="66"/>
        <v>0</v>
      </c>
      <c r="O200" s="89">
        <f t="shared" si="66"/>
        <v>1994</v>
      </c>
      <c r="P200" s="58"/>
      <c r="Q200" s="7">
        <f>Q203</f>
        <v>1644</v>
      </c>
    </row>
    <row r="201" spans="1:17" ht="12.75">
      <c r="A201" s="9" t="s">
        <v>38</v>
      </c>
      <c r="B201" s="9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55"/>
      <c r="Q201" s="53"/>
    </row>
    <row r="202" spans="1:17" ht="12.75">
      <c r="A202" s="10" t="s">
        <v>76</v>
      </c>
      <c r="B202" s="9"/>
      <c r="C202" s="84"/>
      <c r="D202" s="84"/>
      <c r="E202" s="84"/>
      <c r="F202" s="84"/>
      <c r="G202" s="84"/>
      <c r="H202" s="84"/>
      <c r="I202" s="84"/>
      <c r="J202" s="84">
        <v>350</v>
      </c>
      <c r="K202" s="84"/>
      <c r="L202" s="84">
        <f>I202+J202+K202</f>
        <v>350</v>
      </c>
      <c r="M202" s="84"/>
      <c r="N202" s="84"/>
      <c r="O202" s="84">
        <f>L202+M202+N202</f>
        <v>350</v>
      </c>
      <c r="P202" s="55"/>
      <c r="Q202" s="53"/>
    </row>
    <row r="203" spans="1:17" ht="12.75">
      <c r="A203" s="21" t="s">
        <v>104</v>
      </c>
      <c r="B203" s="21"/>
      <c r="C203" s="88"/>
      <c r="D203" s="88"/>
      <c r="E203" s="88">
        <v>852</v>
      </c>
      <c r="F203" s="88">
        <f>C203+D203+E203</f>
        <v>852</v>
      </c>
      <c r="G203" s="88"/>
      <c r="H203" s="88"/>
      <c r="I203" s="88">
        <f>F203+G203+H203</f>
        <v>852</v>
      </c>
      <c r="J203" s="88"/>
      <c r="K203" s="88"/>
      <c r="L203" s="88">
        <f>I203+J203+K203</f>
        <v>852</v>
      </c>
      <c r="M203" s="88">
        <v>792</v>
      </c>
      <c r="N203" s="88"/>
      <c r="O203" s="88">
        <f>L203+M203+N203</f>
        <v>1644</v>
      </c>
      <c r="P203" s="68"/>
      <c r="Q203" s="69">
        <f t="shared" si="42"/>
        <v>1644</v>
      </c>
    </row>
    <row r="204" spans="1:17" ht="12.75">
      <c r="A204" s="12" t="s">
        <v>108</v>
      </c>
      <c r="B204" s="12"/>
      <c r="C204" s="85">
        <f aca="true" t="shared" si="67" ref="C204:I204">C205+C211</f>
        <v>26780</v>
      </c>
      <c r="D204" s="85">
        <f t="shared" si="67"/>
        <v>9367</v>
      </c>
      <c r="E204" s="85">
        <f t="shared" si="67"/>
        <v>0</v>
      </c>
      <c r="F204" s="85">
        <f t="shared" si="67"/>
        <v>36147</v>
      </c>
      <c r="G204" s="85">
        <f t="shared" si="67"/>
        <v>1359</v>
      </c>
      <c r="H204" s="85">
        <f t="shared" si="67"/>
        <v>0</v>
      </c>
      <c r="I204" s="85">
        <f t="shared" si="67"/>
        <v>37506</v>
      </c>
      <c r="J204" s="85">
        <f aca="true" t="shared" si="68" ref="J204:O204">J205+J211</f>
        <v>1460.4</v>
      </c>
      <c r="K204" s="85">
        <f t="shared" si="68"/>
        <v>0</v>
      </c>
      <c r="L204" s="85">
        <f t="shared" si="68"/>
        <v>38966.4</v>
      </c>
      <c r="M204" s="85">
        <f t="shared" si="68"/>
        <v>0</v>
      </c>
      <c r="N204" s="85">
        <f t="shared" si="68"/>
        <v>0</v>
      </c>
      <c r="O204" s="85">
        <f t="shared" si="68"/>
        <v>38966.4</v>
      </c>
      <c r="P204" s="58"/>
      <c r="Q204" s="7">
        <f>Q205+Q211</f>
        <v>34129.8</v>
      </c>
    </row>
    <row r="205" spans="1:17" ht="12.75">
      <c r="A205" s="17" t="s">
        <v>69</v>
      </c>
      <c r="B205" s="17"/>
      <c r="C205" s="87">
        <f aca="true" t="shared" si="69" ref="C205:I205">SUM(C207:C210)</f>
        <v>24580</v>
      </c>
      <c r="D205" s="87">
        <f t="shared" si="69"/>
        <v>4836.6</v>
      </c>
      <c r="E205" s="87">
        <f t="shared" si="69"/>
        <v>0</v>
      </c>
      <c r="F205" s="87">
        <f t="shared" si="69"/>
        <v>29416.6</v>
      </c>
      <c r="G205" s="87">
        <f t="shared" si="69"/>
        <v>351</v>
      </c>
      <c r="H205" s="87">
        <f t="shared" si="69"/>
        <v>0</v>
      </c>
      <c r="I205" s="87">
        <f t="shared" si="69"/>
        <v>29767.6</v>
      </c>
      <c r="J205" s="87">
        <f aca="true" t="shared" si="70" ref="J205:O205">SUM(J207:J210)</f>
        <v>1460.4</v>
      </c>
      <c r="K205" s="87">
        <f t="shared" si="70"/>
        <v>0</v>
      </c>
      <c r="L205" s="87">
        <f t="shared" si="70"/>
        <v>31228</v>
      </c>
      <c r="M205" s="87">
        <f t="shared" si="70"/>
        <v>-150</v>
      </c>
      <c r="N205" s="87">
        <f t="shared" si="70"/>
        <v>0</v>
      </c>
      <c r="O205" s="87">
        <f t="shared" si="70"/>
        <v>31078</v>
      </c>
      <c r="P205" s="60"/>
      <c r="Q205" s="39">
        <f>SUM(Q207:Q210)</f>
        <v>26241.4</v>
      </c>
    </row>
    <row r="206" spans="1:17" ht="12.75">
      <c r="A206" s="13" t="s">
        <v>38</v>
      </c>
      <c r="B206" s="13"/>
      <c r="C206" s="84"/>
      <c r="D206" s="84"/>
      <c r="E206" s="84"/>
      <c r="F206" s="83"/>
      <c r="G206" s="84"/>
      <c r="H206" s="84"/>
      <c r="I206" s="83"/>
      <c r="J206" s="84"/>
      <c r="K206" s="84"/>
      <c r="L206" s="83"/>
      <c r="M206" s="84"/>
      <c r="N206" s="84"/>
      <c r="O206" s="83"/>
      <c r="P206" s="55"/>
      <c r="Q206" s="53"/>
    </row>
    <row r="207" spans="1:17" ht="12.75">
      <c r="A207" s="11" t="s">
        <v>72</v>
      </c>
      <c r="B207" s="11"/>
      <c r="C207" s="84">
        <v>4580</v>
      </c>
      <c r="D207" s="84"/>
      <c r="E207" s="84"/>
      <c r="F207" s="84">
        <f>C207+D207+E207</f>
        <v>4580</v>
      </c>
      <c r="G207" s="84"/>
      <c r="H207" s="84"/>
      <c r="I207" s="84">
        <f>F207+G207+H207</f>
        <v>4580</v>
      </c>
      <c r="J207" s="84">
        <f>960.4+500</f>
        <v>1460.4</v>
      </c>
      <c r="K207" s="84"/>
      <c r="L207" s="84">
        <f>I207+J207+K207</f>
        <v>6040.4</v>
      </c>
      <c r="M207" s="84">
        <v>300</v>
      </c>
      <c r="N207" s="84"/>
      <c r="O207" s="84">
        <f>L207+M207+N207</f>
        <v>6340.4</v>
      </c>
      <c r="P207" s="55"/>
      <c r="Q207" s="53">
        <f t="shared" si="42"/>
        <v>6340.4</v>
      </c>
    </row>
    <row r="208" spans="1:17" ht="12.75">
      <c r="A208" s="11" t="s">
        <v>104</v>
      </c>
      <c r="B208" s="11" t="s">
        <v>379</v>
      </c>
      <c r="C208" s="84"/>
      <c r="D208" s="84"/>
      <c r="E208" s="84"/>
      <c r="F208" s="84">
        <f>C208+D208+E208</f>
        <v>0</v>
      </c>
      <c r="G208" s="84">
        <v>351</v>
      </c>
      <c r="H208" s="84"/>
      <c r="I208" s="84">
        <f>F208+G208+H208</f>
        <v>351</v>
      </c>
      <c r="J208" s="84"/>
      <c r="K208" s="84"/>
      <c r="L208" s="84">
        <f>I208+J208+K208</f>
        <v>351</v>
      </c>
      <c r="M208" s="84"/>
      <c r="N208" s="84"/>
      <c r="O208" s="84">
        <f>L208+M208+N208</f>
        <v>351</v>
      </c>
      <c r="P208" s="55"/>
      <c r="Q208" s="53">
        <f t="shared" si="42"/>
        <v>351</v>
      </c>
    </row>
    <row r="209" spans="1:17" ht="12.75">
      <c r="A209" s="11" t="s">
        <v>268</v>
      </c>
      <c r="B209" s="11" t="s">
        <v>378</v>
      </c>
      <c r="C209" s="84"/>
      <c r="D209" s="84">
        <v>4836.6</v>
      </c>
      <c r="E209" s="84"/>
      <c r="F209" s="84">
        <f>C209+D209+E209</f>
        <v>4836.6</v>
      </c>
      <c r="G209" s="84"/>
      <c r="H209" s="84"/>
      <c r="I209" s="84">
        <f>F209+G209+H209</f>
        <v>4836.6</v>
      </c>
      <c r="J209" s="84"/>
      <c r="K209" s="84"/>
      <c r="L209" s="84">
        <f>I209+J209+K209</f>
        <v>4836.6</v>
      </c>
      <c r="M209" s="84"/>
      <c r="N209" s="84"/>
      <c r="O209" s="84">
        <f>L209+M209+N209</f>
        <v>4836.6</v>
      </c>
      <c r="P209" s="55"/>
      <c r="Q209" s="53"/>
    </row>
    <row r="210" spans="1:17" ht="12.75">
      <c r="A210" s="11" t="s">
        <v>109</v>
      </c>
      <c r="B210" s="11"/>
      <c r="C210" s="84">
        <v>20000</v>
      </c>
      <c r="D210" s="84"/>
      <c r="E210" s="84"/>
      <c r="F210" s="84">
        <f>C210+D210+E210</f>
        <v>20000</v>
      </c>
      <c r="G210" s="84"/>
      <c r="H210" s="84"/>
      <c r="I210" s="84">
        <f>F210+G210+H210</f>
        <v>20000</v>
      </c>
      <c r="J210" s="84"/>
      <c r="K210" s="84"/>
      <c r="L210" s="84">
        <f>I210+J210+K210</f>
        <v>20000</v>
      </c>
      <c r="M210" s="84">
        <v>-450</v>
      </c>
      <c r="N210" s="84"/>
      <c r="O210" s="84">
        <f>L210+M210+N210</f>
        <v>19550</v>
      </c>
      <c r="P210" s="55"/>
      <c r="Q210" s="53">
        <f aca="true" t="shared" si="71" ref="Q210:Q269">O210+P210</f>
        <v>19550</v>
      </c>
    </row>
    <row r="211" spans="1:17" ht="12.75">
      <c r="A211" s="18" t="s">
        <v>75</v>
      </c>
      <c r="B211" s="18"/>
      <c r="C211" s="89">
        <f>C215+C213+C214</f>
        <v>2200</v>
      </c>
      <c r="D211" s="89">
        <f aca="true" t="shared" si="72" ref="D211:O211">D215+D213</f>
        <v>4530.4</v>
      </c>
      <c r="E211" s="89">
        <f t="shared" si="72"/>
        <v>0</v>
      </c>
      <c r="F211" s="89">
        <f t="shared" si="72"/>
        <v>6730.4</v>
      </c>
      <c r="G211" s="89">
        <f t="shared" si="72"/>
        <v>1008</v>
      </c>
      <c r="H211" s="89">
        <f t="shared" si="72"/>
        <v>0</v>
      </c>
      <c r="I211" s="89">
        <f t="shared" si="72"/>
        <v>7738.4</v>
      </c>
      <c r="J211" s="89">
        <f t="shared" si="72"/>
        <v>0</v>
      </c>
      <c r="K211" s="89">
        <f t="shared" si="72"/>
        <v>0</v>
      </c>
      <c r="L211" s="89">
        <f t="shared" si="72"/>
        <v>7738.4</v>
      </c>
      <c r="M211" s="89">
        <f t="shared" si="72"/>
        <v>150</v>
      </c>
      <c r="N211" s="89">
        <f t="shared" si="72"/>
        <v>0</v>
      </c>
      <c r="O211" s="89">
        <f t="shared" si="72"/>
        <v>7888.4</v>
      </c>
      <c r="P211" s="61"/>
      <c r="Q211" s="49">
        <f>Q215+Q213+Q214</f>
        <v>7888.4</v>
      </c>
    </row>
    <row r="212" spans="1:17" ht="12.75">
      <c r="A212" s="9" t="s">
        <v>38</v>
      </c>
      <c r="B212" s="9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55"/>
      <c r="Q212" s="53"/>
    </row>
    <row r="213" spans="1:17" ht="12.75">
      <c r="A213" s="11" t="s">
        <v>269</v>
      </c>
      <c r="B213" s="11"/>
      <c r="C213" s="84"/>
      <c r="D213" s="84">
        <v>4530.4</v>
      </c>
      <c r="E213" s="85"/>
      <c r="F213" s="84">
        <f>C213+D213+E213</f>
        <v>4530.4</v>
      </c>
      <c r="G213" s="84">
        <v>1008</v>
      </c>
      <c r="H213" s="85"/>
      <c r="I213" s="84">
        <f>F213+G213+H213</f>
        <v>5538.4</v>
      </c>
      <c r="J213" s="85"/>
      <c r="K213" s="85"/>
      <c r="L213" s="84">
        <f>I213+J213+K213</f>
        <v>5538.4</v>
      </c>
      <c r="M213" s="85"/>
      <c r="N213" s="85"/>
      <c r="O213" s="84">
        <f>L213+M213+N213</f>
        <v>5538.4</v>
      </c>
      <c r="P213" s="55"/>
      <c r="Q213" s="53">
        <f t="shared" si="71"/>
        <v>5538.4</v>
      </c>
    </row>
    <row r="214" spans="1:17" ht="12.75" hidden="1">
      <c r="A214" s="11" t="s">
        <v>251</v>
      </c>
      <c r="B214" s="11">
        <v>98861</v>
      </c>
      <c r="C214" s="84"/>
      <c r="D214" s="84"/>
      <c r="E214" s="85"/>
      <c r="F214" s="84">
        <f>C214+D214+E214</f>
        <v>0</v>
      </c>
      <c r="G214" s="85"/>
      <c r="H214" s="85"/>
      <c r="I214" s="84"/>
      <c r="J214" s="85"/>
      <c r="K214" s="85"/>
      <c r="L214" s="84"/>
      <c r="M214" s="85"/>
      <c r="N214" s="85"/>
      <c r="O214" s="84">
        <f>L214+M214+N214</f>
        <v>0</v>
      </c>
      <c r="P214" s="55"/>
      <c r="Q214" s="53">
        <f t="shared" si="71"/>
        <v>0</v>
      </c>
    </row>
    <row r="215" spans="1:17" ht="12.75">
      <c r="A215" s="22" t="s">
        <v>76</v>
      </c>
      <c r="B215" s="22"/>
      <c r="C215" s="88">
        <v>2200</v>
      </c>
      <c r="D215" s="88"/>
      <c r="E215" s="88"/>
      <c r="F215" s="88">
        <f>C215+D215+E215</f>
        <v>2200</v>
      </c>
      <c r="G215" s="88"/>
      <c r="H215" s="88"/>
      <c r="I215" s="88">
        <f>F215+G215+H215</f>
        <v>2200</v>
      </c>
      <c r="J215" s="88"/>
      <c r="K215" s="88"/>
      <c r="L215" s="88">
        <f>I215+J215+K215</f>
        <v>2200</v>
      </c>
      <c r="M215" s="88">
        <v>150</v>
      </c>
      <c r="N215" s="88"/>
      <c r="O215" s="88">
        <f>L215+M215+N215</f>
        <v>2350</v>
      </c>
      <c r="P215" s="68"/>
      <c r="Q215" s="69">
        <f t="shared" si="71"/>
        <v>2350</v>
      </c>
    </row>
    <row r="216" spans="1:17" ht="12.75">
      <c r="A216" s="8" t="s">
        <v>265</v>
      </c>
      <c r="B216" s="8"/>
      <c r="C216" s="83">
        <f aca="true" t="shared" si="73" ref="C216:I216">C217+C253</f>
        <v>10800</v>
      </c>
      <c r="D216" s="83">
        <f t="shared" si="73"/>
        <v>-7190</v>
      </c>
      <c r="E216" s="83">
        <f t="shared" si="73"/>
        <v>99890.79999999997</v>
      </c>
      <c r="F216" s="83">
        <f t="shared" si="73"/>
        <v>103500.79999999997</v>
      </c>
      <c r="G216" s="83">
        <f t="shared" si="73"/>
        <v>38488.4</v>
      </c>
      <c r="H216" s="83">
        <f t="shared" si="73"/>
        <v>0</v>
      </c>
      <c r="I216" s="83">
        <f t="shared" si="73"/>
        <v>141989.19999999998</v>
      </c>
      <c r="J216" s="83">
        <f aca="true" t="shared" si="74" ref="J216:O216">J217+J253</f>
        <v>33622.600000000006</v>
      </c>
      <c r="K216" s="83">
        <f t="shared" si="74"/>
        <v>0</v>
      </c>
      <c r="L216" s="83">
        <f t="shared" si="74"/>
        <v>175611.79999999996</v>
      </c>
      <c r="M216" s="83">
        <f t="shared" si="74"/>
        <v>29594.399999999998</v>
      </c>
      <c r="N216" s="83">
        <f t="shared" si="74"/>
        <v>0</v>
      </c>
      <c r="O216" s="83">
        <f t="shared" si="74"/>
        <v>205206.19999999998</v>
      </c>
      <c r="P216" s="56"/>
      <c r="Q216" s="38" t="e">
        <f>Q217+Q253</f>
        <v>#REF!</v>
      </c>
    </row>
    <row r="217" spans="1:17" ht="12.75">
      <c r="A217" s="17" t="s">
        <v>69</v>
      </c>
      <c r="B217" s="17"/>
      <c r="C217" s="87">
        <f aca="true" t="shared" si="75" ref="C217:I217">SUM(C219:C252)</f>
        <v>10800</v>
      </c>
      <c r="D217" s="87">
        <f t="shared" si="75"/>
        <v>-7190</v>
      </c>
      <c r="E217" s="87">
        <f t="shared" si="75"/>
        <v>92472.49999999997</v>
      </c>
      <c r="F217" s="87">
        <f t="shared" si="75"/>
        <v>96082.49999999997</v>
      </c>
      <c r="G217" s="87">
        <f t="shared" si="75"/>
        <v>38462.3</v>
      </c>
      <c r="H217" s="87">
        <f t="shared" si="75"/>
        <v>0</v>
      </c>
      <c r="I217" s="87">
        <f t="shared" si="75"/>
        <v>134544.8</v>
      </c>
      <c r="J217" s="87">
        <f aca="true" t="shared" si="76" ref="J217:O217">SUM(J219:J252)</f>
        <v>33617.700000000004</v>
      </c>
      <c r="K217" s="87">
        <f t="shared" si="76"/>
        <v>0</v>
      </c>
      <c r="L217" s="87">
        <f t="shared" si="76"/>
        <v>168162.49999999997</v>
      </c>
      <c r="M217" s="87">
        <f t="shared" si="76"/>
        <v>29161.199999999997</v>
      </c>
      <c r="N217" s="87">
        <f t="shared" si="76"/>
        <v>0</v>
      </c>
      <c r="O217" s="87">
        <f t="shared" si="76"/>
        <v>197323.69999999998</v>
      </c>
      <c r="P217" s="60"/>
      <c r="Q217" s="39" t="e">
        <f>SUM(Q219:Q251)+#REF!</f>
        <v>#REF!</v>
      </c>
    </row>
    <row r="218" spans="1:17" ht="12.75">
      <c r="A218" s="9" t="s">
        <v>38</v>
      </c>
      <c r="B218" s="9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55"/>
      <c r="Q218" s="53"/>
    </row>
    <row r="219" spans="1:17" ht="12.75">
      <c r="A219" s="11" t="s">
        <v>72</v>
      </c>
      <c r="B219" s="11"/>
      <c r="C219" s="84">
        <v>3410</v>
      </c>
      <c r="D219" s="84">
        <v>-600</v>
      </c>
      <c r="E219" s="84">
        <f>323.2+9.3+35.1+33.9+1291.1</f>
        <v>1692.6</v>
      </c>
      <c r="F219" s="84">
        <f>C219+D219+E219</f>
        <v>4502.6</v>
      </c>
      <c r="G219" s="84">
        <f>64.2+4.1</f>
        <v>68.3</v>
      </c>
      <c r="H219" s="84"/>
      <c r="I219" s="84">
        <f>F219+G219+H219</f>
        <v>4570.900000000001</v>
      </c>
      <c r="J219" s="91">
        <v>3.5</v>
      </c>
      <c r="K219" s="84"/>
      <c r="L219" s="84">
        <f>I219+J219+K219</f>
        <v>4574.400000000001</v>
      </c>
      <c r="M219" s="91">
        <v>-20</v>
      </c>
      <c r="N219" s="84"/>
      <c r="O219" s="84">
        <f>L219+M219+N219</f>
        <v>4554.400000000001</v>
      </c>
      <c r="P219" s="55"/>
      <c r="Q219" s="53">
        <f t="shared" si="71"/>
        <v>4554.400000000001</v>
      </c>
    </row>
    <row r="220" spans="1:17" ht="12.75">
      <c r="A220" s="11" t="s">
        <v>193</v>
      </c>
      <c r="B220" s="11"/>
      <c r="C220" s="84">
        <v>5523</v>
      </c>
      <c r="D220" s="84">
        <v>-5523</v>
      </c>
      <c r="E220" s="84"/>
      <c r="F220" s="84">
        <f aca="true" t="shared" si="77" ref="F220:F252">C220+D220+E220</f>
        <v>0</v>
      </c>
      <c r="G220" s="84"/>
      <c r="H220" s="84"/>
      <c r="I220" s="84">
        <f aca="true" t="shared" si="78" ref="I220:I252">F220+G220+H220</f>
        <v>0</v>
      </c>
      <c r="J220" s="84"/>
      <c r="K220" s="84"/>
      <c r="L220" s="84">
        <f aca="true" t="shared" si="79" ref="L220:L252">I220+J220+K220</f>
        <v>0</v>
      </c>
      <c r="M220" s="84"/>
      <c r="N220" s="84"/>
      <c r="O220" s="84">
        <f>L220+M220+N220</f>
        <v>0</v>
      </c>
      <c r="P220" s="55"/>
      <c r="Q220" s="53">
        <f t="shared" si="71"/>
        <v>0</v>
      </c>
    </row>
    <row r="221" spans="1:17" ht="12.75">
      <c r="A221" s="20" t="s">
        <v>110</v>
      </c>
      <c r="B221" s="20"/>
      <c r="C221" s="84">
        <v>1067</v>
      </c>
      <c r="D221" s="84">
        <v>-1067</v>
      </c>
      <c r="E221" s="84"/>
      <c r="F221" s="84">
        <f t="shared" si="77"/>
        <v>0</v>
      </c>
      <c r="G221" s="84"/>
      <c r="H221" s="84"/>
      <c r="I221" s="84">
        <f t="shared" si="78"/>
        <v>0</v>
      </c>
      <c r="J221" s="84"/>
      <c r="K221" s="84"/>
      <c r="L221" s="84">
        <f t="shared" si="79"/>
        <v>0</v>
      </c>
      <c r="M221" s="84"/>
      <c r="N221" s="84"/>
      <c r="O221" s="84">
        <f>L221+M221+N221</f>
        <v>0</v>
      </c>
      <c r="P221" s="55"/>
      <c r="Q221" s="53">
        <f t="shared" si="71"/>
        <v>0</v>
      </c>
    </row>
    <row r="222" spans="1:17" ht="12.75">
      <c r="A222" s="11" t="s">
        <v>298</v>
      </c>
      <c r="B222" s="100">
        <v>2400</v>
      </c>
      <c r="C222" s="84"/>
      <c r="D222" s="84"/>
      <c r="E222" s="84">
        <v>217.8</v>
      </c>
      <c r="F222" s="84">
        <f t="shared" si="77"/>
        <v>217.8</v>
      </c>
      <c r="G222" s="84"/>
      <c r="H222" s="84"/>
      <c r="I222" s="84">
        <f t="shared" si="78"/>
        <v>217.8</v>
      </c>
      <c r="J222" s="84"/>
      <c r="K222" s="84"/>
      <c r="L222" s="84">
        <f t="shared" si="79"/>
        <v>217.8</v>
      </c>
      <c r="M222" s="84"/>
      <c r="N222" s="84"/>
      <c r="O222" s="84">
        <f aca="true" t="shared" si="80" ref="O222:O236">L222+M222+N222</f>
        <v>217.8</v>
      </c>
      <c r="P222" s="55"/>
      <c r="Q222" s="53">
        <f t="shared" si="71"/>
        <v>217.8</v>
      </c>
    </row>
    <row r="223" spans="1:17" ht="12.75">
      <c r="A223" s="11" t="s">
        <v>366</v>
      </c>
      <c r="B223" s="100"/>
      <c r="C223" s="84"/>
      <c r="D223" s="84"/>
      <c r="E223" s="84"/>
      <c r="F223" s="84"/>
      <c r="G223" s="84"/>
      <c r="H223" s="84"/>
      <c r="I223" s="84"/>
      <c r="J223" s="84"/>
      <c r="K223" s="84"/>
      <c r="L223" s="84">
        <f t="shared" si="79"/>
        <v>0</v>
      </c>
      <c r="M223" s="84">
        <v>634.3</v>
      </c>
      <c r="N223" s="84"/>
      <c r="O223" s="84">
        <f t="shared" si="80"/>
        <v>634.3</v>
      </c>
      <c r="P223" s="55"/>
      <c r="Q223" s="53"/>
    </row>
    <row r="224" spans="1:17" ht="12.75">
      <c r="A224" s="20" t="s">
        <v>295</v>
      </c>
      <c r="B224" s="100">
        <v>5100</v>
      </c>
      <c r="C224" s="84"/>
      <c r="D224" s="84"/>
      <c r="E224" s="84">
        <v>7749.8</v>
      </c>
      <c r="F224" s="84">
        <f t="shared" si="77"/>
        <v>7749.8</v>
      </c>
      <c r="G224" s="84">
        <v>94.5</v>
      </c>
      <c r="H224" s="84"/>
      <c r="I224" s="84">
        <f t="shared" si="78"/>
        <v>7844.3</v>
      </c>
      <c r="J224" s="84">
        <f>58+46.1+138.1</f>
        <v>242.2</v>
      </c>
      <c r="K224" s="84"/>
      <c r="L224" s="84">
        <f t="shared" si="79"/>
        <v>8086.5</v>
      </c>
      <c r="M224" s="84">
        <f>130.6+17.9-58+135.7</f>
        <v>226.2</v>
      </c>
      <c r="N224" s="84"/>
      <c r="O224" s="84">
        <f t="shared" si="80"/>
        <v>8312.7</v>
      </c>
      <c r="P224" s="55"/>
      <c r="Q224" s="53">
        <f t="shared" si="71"/>
        <v>8312.7</v>
      </c>
    </row>
    <row r="225" spans="1:17" ht="12.75">
      <c r="A225" s="20" t="s">
        <v>190</v>
      </c>
      <c r="B225" s="101"/>
      <c r="C225" s="84"/>
      <c r="D225" s="84"/>
      <c r="E225" s="84"/>
      <c r="F225" s="84">
        <f t="shared" si="77"/>
        <v>0</v>
      </c>
      <c r="G225" s="84">
        <f>11750.2+11943.3</f>
        <v>23693.5</v>
      </c>
      <c r="H225" s="84"/>
      <c r="I225" s="84">
        <f t="shared" si="78"/>
        <v>23693.5</v>
      </c>
      <c r="J225" s="84">
        <v>14323.6</v>
      </c>
      <c r="K225" s="84"/>
      <c r="L225" s="84">
        <f t="shared" si="79"/>
        <v>38017.1</v>
      </c>
      <c r="M225" s="84">
        <f>2529.8+7585+1668.5</f>
        <v>11783.3</v>
      </c>
      <c r="N225" s="84"/>
      <c r="O225" s="84">
        <f t="shared" si="80"/>
        <v>49800.399999999994</v>
      </c>
      <c r="P225" s="55"/>
      <c r="Q225" s="53">
        <f t="shared" si="71"/>
        <v>49800.399999999994</v>
      </c>
    </row>
    <row r="226" spans="1:17" ht="12.75">
      <c r="A226" s="20" t="s">
        <v>284</v>
      </c>
      <c r="B226" s="101">
        <v>5200</v>
      </c>
      <c r="C226" s="84"/>
      <c r="D226" s="84"/>
      <c r="E226" s="84">
        <v>38.9</v>
      </c>
      <c r="F226" s="84">
        <f t="shared" si="77"/>
        <v>38.9</v>
      </c>
      <c r="G226" s="84"/>
      <c r="H226" s="84"/>
      <c r="I226" s="84">
        <f t="shared" si="78"/>
        <v>38.9</v>
      </c>
      <c r="J226" s="84"/>
      <c r="K226" s="84"/>
      <c r="L226" s="84">
        <f t="shared" si="79"/>
        <v>38.9</v>
      </c>
      <c r="M226" s="84"/>
      <c r="N226" s="84"/>
      <c r="O226" s="84">
        <f t="shared" si="80"/>
        <v>38.9</v>
      </c>
      <c r="P226" s="55"/>
      <c r="Q226" s="53">
        <f t="shared" si="71"/>
        <v>38.9</v>
      </c>
    </row>
    <row r="227" spans="1:17" ht="12.75">
      <c r="A227" s="20" t="s">
        <v>191</v>
      </c>
      <c r="B227" s="101"/>
      <c r="C227" s="84"/>
      <c r="D227" s="84"/>
      <c r="E227" s="84"/>
      <c r="F227" s="84">
        <f t="shared" si="77"/>
        <v>0</v>
      </c>
      <c r="G227" s="84"/>
      <c r="H227" s="84"/>
      <c r="I227" s="84">
        <f t="shared" si="78"/>
        <v>0</v>
      </c>
      <c r="J227" s="84">
        <f>9.2+154.5</f>
        <v>163.7</v>
      </c>
      <c r="K227" s="84"/>
      <c r="L227" s="84">
        <f t="shared" si="79"/>
        <v>163.7</v>
      </c>
      <c r="M227" s="84"/>
      <c r="N227" s="84"/>
      <c r="O227" s="84">
        <f t="shared" si="80"/>
        <v>163.7</v>
      </c>
      <c r="P227" s="55"/>
      <c r="Q227" s="53">
        <f t="shared" si="71"/>
        <v>163.7</v>
      </c>
    </row>
    <row r="228" spans="1:17" ht="12.75" hidden="1">
      <c r="A228" s="20" t="s">
        <v>256</v>
      </c>
      <c r="B228" s="101"/>
      <c r="C228" s="84"/>
      <c r="D228" s="84"/>
      <c r="E228" s="84"/>
      <c r="F228" s="84">
        <f t="shared" si="77"/>
        <v>0</v>
      </c>
      <c r="G228" s="84"/>
      <c r="H228" s="84"/>
      <c r="I228" s="84">
        <f t="shared" si="78"/>
        <v>0</v>
      </c>
      <c r="J228" s="84"/>
      <c r="K228" s="84"/>
      <c r="L228" s="84">
        <f t="shared" si="79"/>
        <v>0</v>
      </c>
      <c r="M228" s="84"/>
      <c r="N228" s="84"/>
      <c r="O228" s="84">
        <f t="shared" si="80"/>
        <v>0</v>
      </c>
      <c r="P228" s="55"/>
      <c r="Q228" s="53">
        <f t="shared" si="71"/>
        <v>0</v>
      </c>
    </row>
    <row r="229" spans="1:17" ht="12.75" hidden="1">
      <c r="A229" s="20" t="s">
        <v>211</v>
      </c>
      <c r="B229" s="101"/>
      <c r="C229" s="84"/>
      <c r="D229" s="84"/>
      <c r="E229" s="84"/>
      <c r="F229" s="84">
        <f t="shared" si="77"/>
        <v>0</v>
      </c>
      <c r="G229" s="84"/>
      <c r="H229" s="84"/>
      <c r="I229" s="84">
        <f t="shared" si="78"/>
        <v>0</v>
      </c>
      <c r="J229" s="84"/>
      <c r="K229" s="84"/>
      <c r="L229" s="84">
        <f t="shared" si="79"/>
        <v>0</v>
      </c>
      <c r="M229" s="84"/>
      <c r="N229" s="84"/>
      <c r="O229" s="84">
        <f t="shared" si="80"/>
        <v>0</v>
      </c>
      <c r="P229" s="55"/>
      <c r="Q229" s="53">
        <f t="shared" si="71"/>
        <v>0</v>
      </c>
    </row>
    <row r="230" spans="1:17" ht="12.75">
      <c r="A230" s="20" t="s">
        <v>296</v>
      </c>
      <c r="B230" s="101">
        <v>3500</v>
      </c>
      <c r="C230" s="84"/>
      <c r="D230" s="84"/>
      <c r="E230" s="84">
        <v>553.2</v>
      </c>
      <c r="F230" s="84">
        <f t="shared" si="77"/>
        <v>553.2</v>
      </c>
      <c r="G230" s="84"/>
      <c r="H230" s="84"/>
      <c r="I230" s="84">
        <f t="shared" si="78"/>
        <v>553.2</v>
      </c>
      <c r="J230" s="84"/>
      <c r="K230" s="84"/>
      <c r="L230" s="84">
        <f t="shared" si="79"/>
        <v>553.2</v>
      </c>
      <c r="M230" s="84"/>
      <c r="N230" s="84"/>
      <c r="O230" s="84">
        <f t="shared" si="80"/>
        <v>553.2</v>
      </c>
      <c r="P230" s="55"/>
      <c r="Q230" s="53">
        <f t="shared" si="71"/>
        <v>553.2</v>
      </c>
    </row>
    <row r="231" spans="1:17" ht="12.75">
      <c r="A231" s="20" t="s">
        <v>334</v>
      </c>
      <c r="B231" s="101"/>
      <c r="C231" s="84"/>
      <c r="D231" s="84"/>
      <c r="E231" s="84"/>
      <c r="F231" s="84"/>
      <c r="G231" s="84"/>
      <c r="H231" s="84"/>
      <c r="I231" s="84">
        <f t="shared" si="78"/>
        <v>0</v>
      </c>
      <c r="J231" s="84">
        <v>3172.3</v>
      </c>
      <c r="K231" s="84"/>
      <c r="L231" s="84">
        <f t="shared" si="79"/>
        <v>3172.3</v>
      </c>
      <c r="M231" s="84"/>
      <c r="N231" s="84"/>
      <c r="O231" s="84">
        <f t="shared" si="80"/>
        <v>3172.3</v>
      </c>
      <c r="P231" s="55"/>
      <c r="Q231" s="53"/>
    </row>
    <row r="232" spans="1:17" ht="12.75" hidden="1">
      <c r="A232" s="20" t="s">
        <v>229</v>
      </c>
      <c r="B232" s="101"/>
      <c r="C232" s="84"/>
      <c r="D232" s="84"/>
      <c r="E232" s="84"/>
      <c r="F232" s="84">
        <f t="shared" si="77"/>
        <v>0</v>
      </c>
      <c r="G232" s="84"/>
      <c r="H232" s="84"/>
      <c r="I232" s="84">
        <f t="shared" si="78"/>
        <v>0</v>
      </c>
      <c r="J232" s="84"/>
      <c r="K232" s="84"/>
      <c r="L232" s="84">
        <f t="shared" si="79"/>
        <v>0</v>
      </c>
      <c r="M232" s="84"/>
      <c r="N232" s="84"/>
      <c r="O232" s="84">
        <f t="shared" si="80"/>
        <v>0</v>
      </c>
      <c r="P232" s="55"/>
      <c r="Q232" s="53">
        <f t="shared" si="71"/>
        <v>0</v>
      </c>
    </row>
    <row r="233" spans="1:17" ht="12.75" hidden="1">
      <c r="A233" s="20" t="s">
        <v>257</v>
      </c>
      <c r="B233" s="101"/>
      <c r="C233" s="84"/>
      <c r="D233" s="84"/>
      <c r="E233" s="84"/>
      <c r="F233" s="84">
        <f t="shared" si="77"/>
        <v>0</v>
      </c>
      <c r="G233" s="84"/>
      <c r="H233" s="84"/>
      <c r="I233" s="84">
        <f t="shared" si="78"/>
        <v>0</v>
      </c>
      <c r="J233" s="84"/>
      <c r="K233" s="84"/>
      <c r="L233" s="84">
        <f t="shared" si="79"/>
        <v>0</v>
      </c>
      <c r="M233" s="84"/>
      <c r="N233" s="84"/>
      <c r="O233" s="84">
        <f t="shared" si="80"/>
        <v>0</v>
      </c>
      <c r="P233" s="55"/>
      <c r="Q233" s="53">
        <f t="shared" si="71"/>
        <v>0</v>
      </c>
    </row>
    <row r="234" spans="1:17" ht="12.75">
      <c r="A234" s="20" t="s">
        <v>215</v>
      </c>
      <c r="B234" s="101">
        <v>1500</v>
      </c>
      <c r="C234" s="84"/>
      <c r="D234" s="84"/>
      <c r="E234" s="84"/>
      <c r="F234" s="84">
        <f t="shared" si="77"/>
        <v>0</v>
      </c>
      <c r="G234" s="84"/>
      <c r="H234" s="84"/>
      <c r="I234" s="84">
        <f t="shared" si="78"/>
        <v>0</v>
      </c>
      <c r="J234" s="84"/>
      <c r="K234" s="84"/>
      <c r="L234" s="84">
        <f t="shared" si="79"/>
        <v>0</v>
      </c>
      <c r="M234" s="84">
        <v>150.4</v>
      </c>
      <c r="N234" s="84"/>
      <c r="O234" s="84">
        <f t="shared" si="80"/>
        <v>150.4</v>
      </c>
      <c r="P234" s="55"/>
      <c r="Q234" s="53">
        <f t="shared" si="71"/>
        <v>150.4</v>
      </c>
    </row>
    <row r="235" spans="1:17" ht="12.75">
      <c r="A235" s="20" t="s">
        <v>297</v>
      </c>
      <c r="B235" s="101">
        <v>3600</v>
      </c>
      <c r="C235" s="84"/>
      <c r="D235" s="84"/>
      <c r="E235" s="84">
        <v>82.8</v>
      </c>
      <c r="F235" s="84">
        <f t="shared" si="77"/>
        <v>82.8</v>
      </c>
      <c r="G235" s="84"/>
      <c r="H235" s="84"/>
      <c r="I235" s="84">
        <f t="shared" si="78"/>
        <v>82.8</v>
      </c>
      <c r="J235" s="84"/>
      <c r="K235" s="84"/>
      <c r="L235" s="84">
        <f t="shared" si="79"/>
        <v>82.8</v>
      </c>
      <c r="M235" s="84"/>
      <c r="N235" s="84"/>
      <c r="O235" s="84">
        <f t="shared" si="80"/>
        <v>82.8</v>
      </c>
      <c r="P235" s="55"/>
      <c r="Q235" s="53">
        <f t="shared" si="71"/>
        <v>82.8</v>
      </c>
    </row>
    <row r="236" spans="1:17" ht="12.75">
      <c r="A236" s="20" t="s">
        <v>363</v>
      </c>
      <c r="B236" s="101"/>
      <c r="C236" s="84"/>
      <c r="D236" s="84"/>
      <c r="E236" s="84"/>
      <c r="F236" s="84">
        <f t="shared" si="77"/>
        <v>0</v>
      </c>
      <c r="G236" s="84"/>
      <c r="H236" s="84"/>
      <c r="I236" s="84">
        <f t="shared" si="78"/>
        <v>0</v>
      </c>
      <c r="J236" s="84">
        <v>7.9</v>
      </c>
      <c r="K236" s="84"/>
      <c r="L236" s="84">
        <f t="shared" si="79"/>
        <v>7.9</v>
      </c>
      <c r="M236" s="84"/>
      <c r="N236" s="84"/>
      <c r="O236" s="84">
        <f t="shared" si="80"/>
        <v>7.9</v>
      </c>
      <c r="P236" s="55"/>
      <c r="Q236" s="53">
        <f t="shared" si="71"/>
        <v>7.9</v>
      </c>
    </row>
    <row r="237" spans="1:17" ht="12.75" hidden="1">
      <c r="A237" s="10" t="s">
        <v>111</v>
      </c>
      <c r="B237" s="102"/>
      <c r="C237" s="84"/>
      <c r="D237" s="84"/>
      <c r="E237" s="84"/>
      <c r="F237" s="84">
        <f t="shared" si="77"/>
        <v>0</v>
      </c>
      <c r="G237" s="84"/>
      <c r="H237" s="84"/>
      <c r="I237" s="84">
        <f t="shared" si="78"/>
        <v>0</v>
      </c>
      <c r="J237" s="84"/>
      <c r="K237" s="84"/>
      <c r="L237" s="84">
        <f t="shared" si="79"/>
        <v>0</v>
      </c>
      <c r="M237" s="84"/>
      <c r="N237" s="84"/>
      <c r="O237" s="84">
        <f>L237+M237+N237</f>
        <v>0</v>
      </c>
      <c r="P237" s="55"/>
      <c r="Q237" s="53">
        <f t="shared" si="71"/>
        <v>0</v>
      </c>
    </row>
    <row r="238" spans="1:17" ht="12.75" hidden="1">
      <c r="A238" s="10" t="s">
        <v>112</v>
      </c>
      <c r="B238" s="102"/>
      <c r="C238" s="84"/>
      <c r="D238" s="84"/>
      <c r="E238" s="84"/>
      <c r="F238" s="84">
        <f t="shared" si="77"/>
        <v>0</v>
      </c>
      <c r="G238" s="84"/>
      <c r="H238" s="84"/>
      <c r="I238" s="84">
        <f t="shared" si="78"/>
        <v>0</v>
      </c>
      <c r="J238" s="84"/>
      <c r="K238" s="84"/>
      <c r="L238" s="84">
        <f t="shared" si="79"/>
        <v>0</v>
      </c>
      <c r="M238" s="84"/>
      <c r="N238" s="84"/>
      <c r="O238" s="84">
        <f>L238+M238+N238</f>
        <v>0</v>
      </c>
      <c r="P238" s="55"/>
      <c r="Q238" s="53">
        <f t="shared" si="71"/>
        <v>0</v>
      </c>
    </row>
    <row r="239" spans="1:17" ht="12.75" hidden="1">
      <c r="A239" s="20" t="s">
        <v>113</v>
      </c>
      <c r="B239" s="101"/>
      <c r="C239" s="84"/>
      <c r="D239" s="84"/>
      <c r="E239" s="84"/>
      <c r="F239" s="84">
        <f t="shared" si="77"/>
        <v>0</v>
      </c>
      <c r="G239" s="84"/>
      <c r="H239" s="84"/>
      <c r="I239" s="84">
        <f t="shared" si="78"/>
        <v>0</v>
      </c>
      <c r="J239" s="84"/>
      <c r="K239" s="84"/>
      <c r="L239" s="84">
        <f t="shared" si="79"/>
        <v>0</v>
      </c>
      <c r="M239" s="84"/>
      <c r="N239" s="84"/>
      <c r="O239" s="84">
        <f>L239+M239+N239</f>
        <v>0</v>
      </c>
      <c r="P239" s="55"/>
      <c r="Q239" s="53">
        <f t="shared" si="71"/>
        <v>0</v>
      </c>
    </row>
    <row r="240" spans="1:17" ht="12.75">
      <c r="A240" s="11" t="s">
        <v>289</v>
      </c>
      <c r="B240" s="100">
        <v>4000</v>
      </c>
      <c r="C240" s="84"/>
      <c r="D240" s="84"/>
      <c r="E240" s="84">
        <v>15774</v>
      </c>
      <c r="F240" s="84">
        <f t="shared" si="77"/>
        <v>15774</v>
      </c>
      <c r="G240" s="84">
        <f>42.3+43.2</f>
        <v>85.5</v>
      </c>
      <c r="H240" s="84"/>
      <c r="I240" s="84">
        <f t="shared" si="78"/>
        <v>15859.5</v>
      </c>
      <c r="J240" s="84">
        <f>106.1+67.9</f>
        <v>174</v>
      </c>
      <c r="K240" s="84"/>
      <c r="L240" s="84">
        <f t="shared" si="79"/>
        <v>16033.5</v>
      </c>
      <c r="M240" s="84"/>
      <c r="N240" s="84"/>
      <c r="O240" s="84">
        <f aca="true" t="shared" si="81" ref="O240:O252">L240+M240+N240</f>
        <v>16033.5</v>
      </c>
      <c r="P240" s="55"/>
      <c r="Q240" s="53">
        <f t="shared" si="71"/>
        <v>16033.5</v>
      </c>
    </row>
    <row r="241" spans="1:17" ht="12.75" hidden="1">
      <c r="A241" s="11" t="s">
        <v>201</v>
      </c>
      <c r="B241" s="100"/>
      <c r="C241" s="84"/>
      <c r="D241" s="84"/>
      <c r="E241" s="84"/>
      <c r="F241" s="84">
        <f t="shared" si="77"/>
        <v>0</v>
      </c>
      <c r="G241" s="84"/>
      <c r="H241" s="84"/>
      <c r="I241" s="84">
        <f t="shared" si="78"/>
        <v>0</v>
      </c>
      <c r="J241" s="84"/>
      <c r="K241" s="84"/>
      <c r="L241" s="84">
        <f t="shared" si="79"/>
        <v>0</v>
      </c>
      <c r="M241" s="84"/>
      <c r="N241" s="84"/>
      <c r="O241" s="84">
        <f t="shared" si="81"/>
        <v>0</v>
      </c>
      <c r="P241" s="55"/>
      <c r="Q241" s="53">
        <f t="shared" si="71"/>
        <v>0</v>
      </c>
    </row>
    <row r="242" spans="1:17" ht="12.75">
      <c r="A242" s="11" t="s">
        <v>285</v>
      </c>
      <c r="B242" s="100">
        <v>2100</v>
      </c>
      <c r="C242" s="84"/>
      <c r="D242" s="84"/>
      <c r="E242" s="84">
        <v>25172.3</v>
      </c>
      <c r="F242" s="84">
        <f t="shared" si="77"/>
        <v>25172.3</v>
      </c>
      <c r="G242" s="84">
        <f>128</f>
        <v>128</v>
      </c>
      <c r="H242" s="84"/>
      <c r="I242" s="84">
        <f t="shared" si="78"/>
        <v>25300.3</v>
      </c>
      <c r="J242" s="84">
        <v>234</v>
      </c>
      <c r="K242" s="84"/>
      <c r="L242" s="84">
        <f t="shared" si="79"/>
        <v>25534.3</v>
      </c>
      <c r="M242" s="84">
        <f>-234-128</f>
        <v>-362</v>
      </c>
      <c r="N242" s="84"/>
      <c r="O242" s="84">
        <f t="shared" si="81"/>
        <v>25172.3</v>
      </c>
      <c r="P242" s="55"/>
      <c r="Q242" s="53">
        <f t="shared" si="71"/>
        <v>25172.3</v>
      </c>
    </row>
    <row r="243" spans="1:17" ht="12.75">
      <c r="A243" s="11" t="s">
        <v>304</v>
      </c>
      <c r="B243" s="100"/>
      <c r="C243" s="84"/>
      <c r="D243" s="84"/>
      <c r="E243" s="84"/>
      <c r="F243" s="84">
        <f t="shared" si="77"/>
        <v>0</v>
      </c>
      <c r="G243" s="84">
        <v>8044.1</v>
      </c>
      <c r="H243" s="84"/>
      <c r="I243" s="84">
        <f t="shared" si="78"/>
        <v>8044.1</v>
      </c>
      <c r="J243" s="84">
        <v>9608.9</v>
      </c>
      <c r="K243" s="84"/>
      <c r="L243" s="84">
        <f t="shared" si="79"/>
        <v>17653</v>
      </c>
      <c r="M243" s="84">
        <f>2983.6+4365.9</f>
        <v>7349.5</v>
      </c>
      <c r="N243" s="84"/>
      <c r="O243" s="84">
        <f t="shared" si="81"/>
        <v>25002.5</v>
      </c>
      <c r="P243" s="55"/>
      <c r="Q243" s="53"/>
    </row>
    <row r="244" spans="1:17" ht="12.75">
      <c r="A244" s="20" t="s">
        <v>290</v>
      </c>
      <c r="B244" s="101">
        <v>4100</v>
      </c>
      <c r="C244" s="84"/>
      <c r="D244" s="84"/>
      <c r="E244" s="84">
        <v>4062.2</v>
      </c>
      <c r="F244" s="84">
        <f t="shared" si="77"/>
        <v>4062.2</v>
      </c>
      <c r="G244" s="84"/>
      <c r="H244" s="84"/>
      <c r="I244" s="84">
        <f t="shared" si="78"/>
        <v>4062.2</v>
      </c>
      <c r="J244" s="84"/>
      <c r="K244" s="84"/>
      <c r="L244" s="84">
        <f t="shared" si="79"/>
        <v>4062.2</v>
      </c>
      <c r="M244" s="84"/>
      <c r="N244" s="84"/>
      <c r="O244" s="84">
        <f t="shared" si="81"/>
        <v>4062.2</v>
      </c>
      <c r="P244" s="55"/>
      <c r="Q244" s="53">
        <f t="shared" si="71"/>
        <v>4062.2</v>
      </c>
    </row>
    <row r="245" spans="1:17" ht="12.75" hidden="1">
      <c r="A245" s="20" t="s">
        <v>210</v>
      </c>
      <c r="B245" s="101"/>
      <c r="C245" s="84"/>
      <c r="D245" s="84"/>
      <c r="E245" s="84"/>
      <c r="F245" s="84">
        <f t="shared" si="77"/>
        <v>0</v>
      </c>
      <c r="G245" s="84"/>
      <c r="H245" s="84"/>
      <c r="I245" s="84">
        <f t="shared" si="78"/>
        <v>0</v>
      </c>
      <c r="J245" s="84"/>
      <c r="K245" s="84"/>
      <c r="L245" s="84">
        <f t="shared" si="79"/>
        <v>0</v>
      </c>
      <c r="M245" s="84"/>
      <c r="N245" s="84"/>
      <c r="O245" s="84">
        <f t="shared" si="81"/>
        <v>0</v>
      </c>
      <c r="P245" s="55"/>
      <c r="Q245" s="53">
        <f t="shared" si="71"/>
        <v>0</v>
      </c>
    </row>
    <row r="246" spans="1:17" ht="12.75">
      <c r="A246" s="20" t="s">
        <v>286</v>
      </c>
      <c r="B246" s="101">
        <v>2200</v>
      </c>
      <c r="C246" s="84"/>
      <c r="D246" s="84"/>
      <c r="E246" s="84">
        <v>7140</v>
      </c>
      <c r="F246" s="84">
        <f t="shared" si="77"/>
        <v>7140</v>
      </c>
      <c r="G246" s="84"/>
      <c r="H246" s="84"/>
      <c r="I246" s="84">
        <f t="shared" si="78"/>
        <v>7140</v>
      </c>
      <c r="J246" s="84"/>
      <c r="K246" s="84"/>
      <c r="L246" s="84">
        <f t="shared" si="79"/>
        <v>7140</v>
      </c>
      <c r="M246" s="84"/>
      <c r="N246" s="84"/>
      <c r="O246" s="84">
        <f t="shared" si="81"/>
        <v>7140</v>
      </c>
      <c r="P246" s="55"/>
      <c r="Q246" s="53">
        <f t="shared" si="71"/>
        <v>7140</v>
      </c>
    </row>
    <row r="247" spans="1:17" ht="12.75">
      <c r="A247" s="20" t="s">
        <v>310</v>
      </c>
      <c r="B247" s="101"/>
      <c r="C247" s="84"/>
      <c r="D247" s="84"/>
      <c r="E247" s="84"/>
      <c r="F247" s="84">
        <f t="shared" si="77"/>
        <v>0</v>
      </c>
      <c r="G247" s="84">
        <v>3968.6</v>
      </c>
      <c r="H247" s="84"/>
      <c r="I247" s="84">
        <f t="shared" si="78"/>
        <v>3968.6</v>
      </c>
      <c r="J247" s="84">
        <v>2582.3</v>
      </c>
      <c r="K247" s="84"/>
      <c r="L247" s="84">
        <f t="shared" si="79"/>
        <v>6550.9</v>
      </c>
      <c r="M247" s="84">
        <f>916.8+2290.3+1239.5</f>
        <v>4446.6</v>
      </c>
      <c r="N247" s="84"/>
      <c r="O247" s="84">
        <f t="shared" si="81"/>
        <v>10997.5</v>
      </c>
      <c r="P247" s="55"/>
      <c r="Q247" s="53"/>
    </row>
    <row r="248" spans="1:17" ht="12.75">
      <c r="A248" s="20" t="s">
        <v>291</v>
      </c>
      <c r="B248" s="101">
        <v>4200</v>
      </c>
      <c r="C248" s="84"/>
      <c r="D248" s="84"/>
      <c r="E248" s="84">
        <v>19682.6</v>
      </c>
      <c r="F248" s="84">
        <f t="shared" si="77"/>
        <v>19682.6</v>
      </c>
      <c r="G248" s="84"/>
      <c r="H248" s="84"/>
      <c r="I248" s="84">
        <f t="shared" si="78"/>
        <v>19682.6</v>
      </c>
      <c r="J248" s="84">
        <f>759.9+7.4</f>
        <v>767.3</v>
      </c>
      <c r="K248" s="84"/>
      <c r="L248" s="84">
        <f t="shared" si="79"/>
        <v>20449.899999999998</v>
      </c>
      <c r="M248" s="84"/>
      <c r="N248" s="84"/>
      <c r="O248" s="84">
        <f t="shared" si="81"/>
        <v>20449.899999999998</v>
      </c>
      <c r="P248" s="55"/>
      <c r="Q248" s="53">
        <f t="shared" si="71"/>
        <v>20449.899999999998</v>
      </c>
    </row>
    <row r="249" spans="1:17" ht="12.75" hidden="1">
      <c r="A249" s="20" t="s">
        <v>200</v>
      </c>
      <c r="B249" s="101"/>
      <c r="C249" s="84"/>
      <c r="D249" s="84"/>
      <c r="E249" s="84"/>
      <c r="F249" s="84">
        <f t="shared" si="77"/>
        <v>0</v>
      </c>
      <c r="G249" s="84"/>
      <c r="H249" s="84"/>
      <c r="I249" s="84">
        <f t="shared" si="78"/>
        <v>0</v>
      </c>
      <c r="J249" s="84"/>
      <c r="K249" s="84"/>
      <c r="L249" s="84">
        <f t="shared" si="79"/>
        <v>0</v>
      </c>
      <c r="M249" s="84"/>
      <c r="N249" s="84"/>
      <c r="O249" s="84">
        <f t="shared" si="81"/>
        <v>0</v>
      </c>
      <c r="P249" s="55"/>
      <c r="Q249" s="53">
        <f t="shared" si="71"/>
        <v>0</v>
      </c>
    </row>
    <row r="250" spans="1:17" ht="12.75">
      <c r="A250" s="20" t="s">
        <v>287</v>
      </c>
      <c r="B250" s="101">
        <v>2300</v>
      </c>
      <c r="C250" s="84"/>
      <c r="D250" s="84"/>
      <c r="E250" s="84">
        <v>10291.4</v>
      </c>
      <c r="F250" s="84">
        <f t="shared" si="77"/>
        <v>10291.4</v>
      </c>
      <c r="G250" s="84">
        <v>59</v>
      </c>
      <c r="H250" s="84"/>
      <c r="I250" s="84">
        <f t="shared" si="78"/>
        <v>10350.4</v>
      </c>
      <c r="J250" s="84">
        <v>10</v>
      </c>
      <c r="K250" s="84"/>
      <c r="L250" s="84">
        <f t="shared" si="79"/>
        <v>10360.4</v>
      </c>
      <c r="M250" s="84"/>
      <c r="N250" s="84"/>
      <c r="O250" s="84">
        <f t="shared" si="81"/>
        <v>10360.4</v>
      </c>
      <c r="P250" s="55"/>
      <c r="Q250" s="53">
        <f t="shared" si="71"/>
        <v>10360.4</v>
      </c>
    </row>
    <row r="251" spans="1:17" ht="12.75">
      <c r="A251" s="20" t="s">
        <v>303</v>
      </c>
      <c r="B251" s="101"/>
      <c r="C251" s="84"/>
      <c r="D251" s="84"/>
      <c r="E251" s="84"/>
      <c r="F251" s="84">
        <f t="shared" si="77"/>
        <v>0</v>
      </c>
      <c r="G251" s="84">
        <v>2320.8</v>
      </c>
      <c r="H251" s="84"/>
      <c r="I251" s="84">
        <f t="shared" si="78"/>
        <v>2320.8</v>
      </c>
      <c r="J251" s="84">
        <v>2328</v>
      </c>
      <c r="K251" s="84"/>
      <c r="L251" s="84">
        <f t="shared" si="79"/>
        <v>4648.8</v>
      </c>
      <c r="M251" s="84">
        <f>2638.3+562.5+1752.1</f>
        <v>4952.9</v>
      </c>
      <c r="N251" s="84"/>
      <c r="O251" s="84">
        <f t="shared" si="81"/>
        <v>9601.7</v>
      </c>
      <c r="P251" s="55"/>
      <c r="Q251" s="53"/>
    </row>
    <row r="252" spans="1:17" ht="12.75">
      <c r="A252" s="21" t="s">
        <v>103</v>
      </c>
      <c r="B252" s="104"/>
      <c r="C252" s="88">
        <v>800</v>
      </c>
      <c r="D252" s="88"/>
      <c r="E252" s="88">
        <v>14.9</v>
      </c>
      <c r="F252" s="88">
        <f t="shared" si="77"/>
        <v>814.9</v>
      </c>
      <c r="G252" s="88"/>
      <c r="H252" s="88"/>
      <c r="I252" s="88">
        <f t="shared" si="78"/>
        <v>814.9</v>
      </c>
      <c r="J252" s="88"/>
      <c r="K252" s="88"/>
      <c r="L252" s="88">
        <f t="shared" si="79"/>
        <v>814.9</v>
      </c>
      <c r="M252" s="88"/>
      <c r="N252" s="88"/>
      <c r="O252" s="88">
        <f t="shared" si="81"/>
        <v>814.9</v>
      </c>
      <c r="P252" s="55"/>
      <c r="Q252" s="53"/>
    </row>
    <row r="253" spans="1:17" ht="12.75">
      <c r="A253" s="18" t="s">
        <v>75</v>
      </c>
      <c r="B253" s="103"/>
      <c r="C253" s="89">
        <f aca="true" t="shared" si="82" ref="C253:O253">SUM(C255:C269)</f>
        <v>0</v>
      </c>
      <c r="D253" s="89">
        <f t="shared" si="82"/>
        <v>0</v>
      </c>
      <c r="E253" s="89">
        <f t="shared" si="82"/>
        <v>7418.3</v>
      </c>
      <c r="F253" s="89">
        <f t="shared" si="82"/>
        <v>7418.3</v>
      </c>
      <c r="G253" s="89">
        <f t="shared" si="82"/>
        <v>26.1</v>
      </c>
      <c r="H253" s="89">
        <f t="shared" si="82"/>
        <v>0</v>
      </c>
      <c r="I253" s="89">
        <f t="shared" si="82"/>
        <v>7444.4</v>
      </c>
      <c r="J253" s="89">
        <f t="shared" si="82"/>
        <v>4.9</v>
      </c>
      <c r="K253" s="89">
        <f t="shared" si="82"/>
        <v>0</v>
      </c>
      <c r="L253" s="89">
        <f t="shared" si="82"/>
        <v>7449.299999999999</v>
      </c>
      <c r="M253" s="89">
        <f t="shared" si="82"/>
        <v>433.2</v>
      </c>
      <c r="N253" s="89">
        <f t="shared" si="82"/>
        <v>0</v>
      </c>
      <c r="O253" s="89">
        <f t="shared" si="82"/>
        <v>7882.499999999999</v>
      </c>
      <c r="P253" s="61"/>
      <c r="Q253" s="49">
        <f>SUM(Q255:Q269)</f>
        <v>7856.399999999999</v>
      </c>
    </row>
    <row r="254" spans="1:17" ht="12.75">
      <c r="A254" s="20" t="s">
        <v>38</v>
      </c>
      <c r="B254" s="101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55"/>
      <c r="Q254" s="53"/>
    </row>
    <row r="255" spans="1:17" ht="12.75" hidden="1">
      <c r="A255" s="11" t="s">
        <v>114</v>
      </c>
      <c r="B255" s="100"/>
      <c r="C255" s="84"/>
      <c r="D255" s="84"/>
      <c r="E255" s="84"/>
      <c r="F255" s="84">
        <f aca="true" t="shared" si="83" ref="F255:F269">C255+D255+E255</f>
        <v>0</v>
      </c>
      <c r="G255" s="84"/>
      <c r="H255" s="84"/>
      <c r="I255" s="84">
        <f aca="true" t="shared" si="84" ref="I255:I269">F255+G255+H255</f>
        <v>0</v>
      </c>
      <c r="J255" s="84"/>
      <c r="K255" s="84"/>
      <c r="L255" s="84">
        <f aca="true" t="shared" si="85" ref="L255:L269">I255+J255+K255</f>
        <v>0</v>
      </c>
      <c r="M255" s="84"/>
      <c r="N255" s="84"/>
      <c r="O255" s="84">
        <f aca="true" t="shared" si="86" ref="O255:O269">L255+M255+N255</f>
        <v>0</v>
      </c>
      <c r="P255" s="55"/>
      <c r="Q255" s="53">
        <f t="shared" si="71"/>
        <v>0</v>
      </c>
    </row>
    <row r="256" spans="1:17" ht="12.75" hidden="1">
      <c r="A256" s="20" t="s">
        <v>113</v>
      </c>
      <c r="B256" s="101"/>
      <c r="C256" s="84"/>
      <c r="D256" s="84"/>
      <c r="E256" s="84"/>
      <c r="F256" s="84">
        <f t="shared" si="83"/>
        <v>0</v>
      </c>
      <c r="G256" s="84"/>
      <c r="H256" s="84"/>
      <c r="I256" s="84">
        <f t="shared" si="84"/>
        <v>0</v>
      </c>
      <c r="J256" s="84"/>
      <c r="K256" s="84"/>
      <c r="L256" s="84">
        <f t="shared" si="85"/>
        <v>0</v>
      </c>
      <c r="M256" s="84"/>
      <c r="N256" s="84"/>
      <c r="O256" s="84">
        <f t="shared" si="86"/>
        <v>0</v>
      </c>
      <c r="P256" s="55"/>
      <c r="Q256" s="53">
        <f t="shared" si="71"/>
        <v>0</v>
      </c>
    </row>
    <row r="257" spans="1:17" ht="12.75" hidden="1">
      <c r="A257" s="10" t="s">
        <v>112</v>
      </c>
      <c r="B257" s="102"/>
      <c r="C257" s="84"/>
      <c r="D257" s="84"/>
      <c r="E257" s="84"/>
      <c r="F257" s="84">
        <f t="shared" si="83"/>
        <v>0</v>
      </c>
      <c r="G257" s="84"/>
      <c r="H257" s="84"/>
      <c r="I257" s="84">
        <f t="shared" si="84"/>
        <v>0</v>
      </c>
      <c r="J257" s="84"/>
      <c r="K257" s="84"/>
      <c r="L257" s="84">
        <f t="shared" si="85"/>
        <v>0</v>
      </c>
      <c r="M257" s="84"/>
      <c r="N257" s="84"/>
      <c r="O257" s="84">
        <f t="shared" si="86"/>
        <v>0</v>
      </c>
      <c r="P257" s="55"/>
      <c r="Q257" s="53">
        <f t="shared" si="71"/>
        <v>0</v>
      </c>
    </row>
    <row r="258" spans="1:17" ht="12.75" hidden="1">
      <c r="A258" s="11" t="s">
        <v>115</v>
      </c>
      <c r="B258" s="100"/>
      <c r="C258" s="84"/>
      <c r="D258" s="84"/>
      <c r="E258" s="84"/>
      <c r="F258" s="84">
        <f t="shared" si="83"/>
        <v>0</v>
      </c>
      <c r="G258" s="84"/>
      <c r="H258" s="84"/>
      <c r="I258" s="84">
        <f t="shared" si="84"/>
        <v>0</v>
      </c>
      <c r="J258" s="84"/>
      <c r="K258" s="84"/>
      <c r="L258" s="84">
        <f t="shared" si="85"/>
        <v>0</v>
      </c>
      <c r="M258" s="84"/>
      <c r="N258" s="84"/>
      <c r="O258" s="84">
        <f t="shared" si="86"/>
        <v>0</v>
      </c>
      <c r="P258" s="55"/>
      <c r="Q258" s="53">
        <f t="shared" si="71"/>
        <v>0</v>
      </c>
    </row>
    <row r="259" spans="1:17" ht="12.75">
      <c r="A259" s="20" t="s">
        <v>294</v>
      </c>
      <c r="B259" s="101">
        <v>5100</v>
      </c>
      <c r="C259" s="84"/>
      <c r="D259" s="84"/>
      <c r="E259" s="84">
        <v>1255.2</v>
      </c>
      <c r="F259" s="84">
        <f t="shared" si="83"/>
        <v>1255.2</v>
      </c>
      <c r="G259" s="84"/>
      <c r="H259" s="84"/>
      <c r="I259" s="84">
        <f t="shared" si="84"/>
        <v>1255.2</v>
      </c>
      <c r="J259" s="84"/>
      <c r="K259" s="84"/>
      <c r="L259" s="84">
        <f t="shared" si="85"/>
        <v>1255.2</v>
      </c>
      <c r="M259" s="84">
        <v>58</v>
      </c>
      <c r="N259" s="84"/>
      <c r="O259" s="84">
        <f t="shared" si="86"/>
        <v>1313.2</v>
      </c>
      <c r="P259" s="55"/>
      <c r="Q259" s="53">
        <f t="shared" si="71"/>
        <v>1313.2</v>
      </c>
    </row>
    <row r="260" spans="1:17" ht="12.75">
      <c r="A260" s="20" t="s">
        <v>288</v>
      </c>
      <c r="B260" s="101">
        <v>4000</v>
      </c>
      <c r="C260" s="84"/>
      <c r="D260" s="84"/>
      <c r="E260" s="84">
        <v>2229.9</v>
      </c>
      <c r="F260" s="84">
        <f t="shared" si="83"/>
        <v>2229.9</v>
      </c>
      <c r="G260" s="84"/>
      <c r="H260" s="84"/>
      <c r="I260" s="84">
        <f t="shared" si="84"/>
        <v>2229.9</v>
      </c>
      <c r="J260" s="84"/>
      <c r="K260" s="84"/>
      <c r="L260" s="84">
        <f t="shared" si="85"/>
        <v>2229.9</v>
      </c>
      <c r="M260" s="84"/>
      <c r="N260" s="84"/>
      <c r="O260" s="84">
        <f t="shared" si="86"/>
        <v>2229.9</v>
      </c>
      <c r="P260" s="55"/>
      <c r="Q260" s="53">
        <f t="shared" si="71"/>
        <v>2229.9</v>
      </c>
    </row>
    <row r="261" spans="1:17" ht="12.75">
      <c r="A261" s="11" t="s">
        <v>285</v>
      </c>
      <c r="B261" s="100">
        <v>2100</v>
      </c>
      <c r="C261" s="84"/>
      <c r="D261" s="84"/>
      <c r="E261" s="84">
        <v>353.9</v>
      </c>
      <c r="F261" s="84">
        <f t="shared" si="83"/>
        <v>353.9</v>
      </c>
      <c r="G261" s="84"/>
      <c r="H261" s="84"/>
      <c r="I261" s="84">
        <f t="shared" si="84"/>
        <v>353.9</v>
      </c>
      <c r="J261" s="84"/>
      <c r="K261" s="84"/>
      <c r="L261" s="84">
        <f t="shared" si="85"/>
        <v>353.9</v>
      </c>
      <c r="M261" s="84">
        <f>234+128</f>
        <v>362</v>
      </c>
      <c r="N261" s="84"/>
      <c r="O261" s="84">
        <f t="shared" si="86"/>
        <v>715.9</v>
      </c>
      <c r="P261" s="55"/>
      <c r="Q261" s="53">
        <f t="shared" si="71"/>
        <v>715.9</v>
      </c>
    </row>
    <row r="262" spans="1:17" ht="12.75">
      <c r="A262" s="11" t="s">
        <v>304</v>
      </c>
      <c r="B262" s="100"/>
      <c r="C262" s="84"/>
      <c r="D262" s="84"/>
      <c r="E262" s="84"/>
      <c r="F262" s="84">
        <f t="shared" si="83"/>
        <v>0</v>
      </c>
      <c r="G262" s="84">
        <v>26.1</v>
      </c>
      <c r="H262" s="84"/>
      <c r="I262" s="84">
        <f t="shared" si="84"/>
        <v>26.1</v>
      </c>
      <c r="J262" s="84"/>
      <c r="K262" s="84"/>
      <c r="L262" s="84">
        <f t="shared" si="85"/>
        <v>26.1</v>
      </c>
      <c r="M262" s="84"/>
      <c r="N262" s="84"/>
      <c r="O262" s="84">
        <f t="shared" si="86"/>
        <v>26.1</v>
      </c>
      <c r="P262" s="55"/>
      <c r="Q262" s="53"/>
    </row>
    <row r="263" spans="1:17" ht="12.75">
      <c r="A263" s="20" t="s">
        <v>292</v>
      </c>
      <c r="B263" s="101">
        <v>4100</v>
      </c>
      <c r="C263" s="84"/>
      <c r="D263" s="84"/>
      <c r="E263" s="84">
        <v>1732.9</v>
      </c>
      <c r="F263" s="84">
        <f t="shared" si="83"/>
        <v>1732.9</v>
      </c>
      <c r="G263" s="84"/>
      <c r="H263" s="84"/>
      <c r="I263" s="84">
        <f t="shared" si="84"/>
        <v>1732.9</v>
      </c>
      <c r="J263" s="84"/>
      <c r="K263" s="84"/>
      <c r="L263" s="84">
        <f t="shared" si="85"/>
        <v>1732.9</v>
      </c>
      <c r="M263" s="84"/>
      <c r="N263" s="84"/>
      <c r="O263" s="84">
        <f t="shared" si="86"/>
        <v>1732.9</v>
      </c>
      <c r="P263" s="55"/>
      <c r="Q263" s="53">
        <f t="shared" si="71"/>
        <v>1732.9</v>
      </c>
    </row>
    <row r="264" spans="1:17" ht="12.75">
      <c r="A264" s="20" t="s">
        <v>286</v>
      </c>
      <c r="B264" s="101">
        <v>2200</v>
      </c>
      <c r="C264" s="84"/>
      <c r="D264" s="84"/>
      <c r="E264" s="84">
        <v>2.4</v>
      </c>
      <c r="F264" s="84">
        <f t="shared" si="83"/>
        <v>2.4</v>
      </c>
      <c r="G264" s="84"/>
      <c r="H264" s="84"/>
      <c r="I264" s="84">
        <f t="shared" si="84"/>
        <v>2.4</v>
      </c>
      <c r="J264" s="84"/>
      <c r="K264" s="84"/>
      <c r="L264" s="84">
        <f t="shared" si="85"/>
        <v>2.4</v>
      </c>
      <c r="M264" s="84"/>
      <c r="N264" s="84"/>
      <c r="O264" s="84">
        <f t="shared" si="86"/>
        <v>2.4</v>
      </c>
      <c r="P264" s="55"/>
      <c r="Q264" s="53">
        <f t="shared" si="71"/>
        <v>2.4</v>
      </c>
    </row>
    <row r="265" spans="1:17" ht="12.75">
      <c r="A265" s="20" t="s">
        <v>293</v>
      </c>
      <c r="B265" s="101">
        <v>4200</v>
      </c>
      <c r="C265" s="84"/>
      <c r="D265" s="84"/>
      <c r="E265" s="84">
        <v>1785</v>
      </c>
      <c r="F265" s="84">
        <f t="shared" si="83"/>
        <v>1785</v>
      </c>
      <c r="G265" s="84"/>
      <c r="H265" s="84"/>
      <c r="I265" s="84">
        <f t="shared" si="84"/>
        <v>1785</v>
      </c>
      <c r="J265" s="84">
        <f>4.9</f>
        <v>4.9</v>
      </c>
      <c r="K265" s="84"/>
      <c r="L265" s="84">
        <f t="shared" si="85"/>
        <v>1789.9</v>
      </c>
      <c r="M265" s="84"/>
      <c r="N265" s="84"/>
      <c r="O265" s="84">
        <f t="shared" si="86"/>
        <v>1789.9</v>
      </c>
      <c r="P265" s="55"/>
      <c r="Q265" s="53">
        <f t="shared" si="71"/>
        <v>1789.9</v>
      </c>
    </row>
    <row r="266" spans="1:17" ht="12.75">
      <c r="A266" s="21" t="s">
        <v>287</v>
      </c>
      <c r="B266" s="104">
        <v>2300</v>
      </c>
      <c r="C266" s="88"/>
      <c r="D266" s="88"/>
      <c r="E266" s="88">
        <v>59</v>
      </c>
      <c r="F266" s="88">
        <f t="shared" si="83"/>
        <v>59</v>
      </c>
      <c r="G266" s="88"/>
      <c r="H266" s="88"/>
      <c r="I266" s="88">
        <f t="shared" si="84"/>
        <v>59</v>
      </c>
      <c r="J266" s="88"/>
      <c r="K266" s="88"/>
      <c r="L266" s="88">
        <f t="shared" si="85"/>
        <v>59</v>
      </c>
      <c r="M266" s="88">
        <f>10+3.2</f>
        <v>13.2</v>
      </c>
      <c r="N266" s="88"/>
      <c r="O266" s="88">
        <f t="shared" si="86"/>
        <v>72.2</v>
      </c>
      <c r="P266" s="55"/>
      <c r="Q266" s="53">
        <f t="shared" si="71"/>
        <v>72.2</v>
      </c>
    </row>
    <row r="267" spans="1:17" ht="12.75" hidden="1">
      <c r="A267" s="11" t="s">
        <v>92</v>
      </c>
      <c r="B267" s="100"/>
      <c r="C267" s="84"/>
      <c r="D267" s="84"/>
      <c r="E267" s="84"/>
      <c r="F267" s="84">
        <f t="shared" si="83"/>
        <v>0</v>
      </c>
      <c r="G267" s="84"/>
      <c r="H267" s="84"/>
      <c r="I267" s="84">
        <f t="shared" si="84"/>
        <v>0</v>
      </c>
      <c r="J267" s="84"/>
      <c r="K267" s="84"/>
      <c r="L267" s="84">
        <f t="shared" si="85"/>
        <v>0</v>
      </c>
      <c r="M267" s="84"/>
      <c r="N267" s="84"/>
      <c r="O267" s="84">
        <f t="shared" si="86"/>
        <v>0</v>
      </c>
      <c r="P267" s="55"/>
      <c r="Q267" s="53">
        <f t="shared" si="71"/>
        <v>0</v>
      </c>
    </row>
    <row r="268" spans="1:17" ht="12.75" hidden="1">
      <c r="A268" s="11" t="s">
        <v>76</v>
      </c>
      <c r="B268" s="100"/>
      <c r="C268" s="84"/>
      <c r="D268" s="84"/>
      <c r="E268" s="84"/>
      <c r="F268" s="84">
        <f t="shared" si="83"/>
        <v>0</v>
      </c>
      <c r="G268" s="84"/>
      <c r="H268" s="84"/>
      <c r="I268" s="84">
        <f t="shared" si="84"/>
        <v>0</v>
      </c>
      <c r="J268" s="84"/>
      <c r="K268" s="84"/>
      <c r="L268" s="84">
        <f t="shared" si="85"/>
        <v>0</v>
      </c>
      <c r="M268" s="84"/>
      <c r="N268" s="84"/>
      <c r="O268" s="84">
        <f t="shared" si="86"/>
        <v>0</v>
      </c>
      <c r="P268" s="55"/>
      <c r="Q268" s="53">
        <f t="shared" si="71"/>
        <v>0</v>
      </c>
    </row>
    <row r="269" spans="1:17" ht="12.75" hidden="1">
      <c r="A269" s="14" t="s">
        <v>104</v>
      </c>
      <c r="B269" s="105"/>
      <c r="C269" s="88"/>
      <c r="D269" s="88"/>
      <c r="E269" s="88"/>
      <c r="F269" s="88">
        <f t="shared" si="83"/>
        <v>0</v>
      </c>
      <c r="G269" s="88"/>
      <c r="H269" s="88"/>
      <c r="I269" s="88">
        <f t="shared" si="84"/>
        <v>0</v>
      </c>
      <c r="J269" s="88"/>
      <c r="K269" s="88"/>
      <c r="L269" s="88">
        <f t="shared" si="85"/>
        <v>0</v>
      </c>
      <c r="M269" s="88"/>
      <c r="N269" s="88"/>
      <c r="O269" s="88">
        <f t="shared" si="86"/>
        <v>0</v>
      </c>
      <c r="P269" s="68"/>
      <c r="Q269" s="69">
        <f t="shared" si="71"/>
        <v>0</v>
      </c>
    </row>
    <row r="270" spans="1:17" ht="12.75">
      <c r="A270" s="8" t="s">
        <v>116</v>
      </c>
      <c r="B270" s="8"/>
      <c r="C270" s="83">
        <f aca="true" t="shared" si="87" ref="C270:I270">C271+C314</f>
        <v>346639</v>
      </c>
      <c r="D270" s="83">
        <f t="shared" si="87"/>
        <v>0</v>
      </c>
      <c r="E270" s="83">
        <f t="shared" si="87"/>
        <v>0</v>
      </c>
      <c r="F270" s="83">
        <f t="shared" si="87"/>
        <v>346639</v>
      </c>
      <c r="G270" s="83">
        <f t="shared" si="87"/>
        <v>4359865.9</v>
      </c>
      <c r="H270" s="83">
        <f t="shared" si="87"/>
        <v>-2490.0999999999995</v>
      </c>
      <c r="I270" s="83">
        <f t="shared" si="87"/>
        <v>4704014.8</v>
      </c>
      <c r="J270" s="83">
        <f aca="true" t="shared" si="88" ref="J270:O270">J271+J314</f>
        <v>71972.90000000001</v>
      </c>
      <c r="K270" s="83">
        <f t="shared" si="88"/>
        <v>2092.5</v>
      </c>
      <c r="L270" s="83">
        <f t="shared" si="88"/>
        <v>4778080.199999999</v>
      </c>
      <c r="M270" s="83">
        <f t="shared" si="88"/>
        <v>63310.100000000006</v>
      </c>
      <c r="N270" s="83">
        <f t="shared" si="88"/>
        <v>0</v>
      </c>
      <c r="O270" s="83">
        <f t="shared" si="88"/>
        <v>4841390.3</v>
      </c>
      <c r="P270" s="56"/>
      <c r="Q270" s="38">
        <f>Q271+Q314</f>
        <v>4810191.399999999</v>
      </c>
    </row>
    <row r="271" spans="1:17" ht="12.75">
      <c r="A271" s="17" t="s">
        <v>69</v>
      </c>
      <c r="B271" s="17"/>
      <c r="C271" s="87">
        <f aca="true" t="shared" si="89" ref="C271:I271">SUM(C273:C313)</f>
        <v>346639</v>
      </c>
      <c r="D271" s="87">
        <f t="shared" si="89"/>
        <v>0</v>
      </c>
      <c r="E271" s="87">
        <f t="shared" si="89"/>
        <v>0</v>
      </c>
      <c r="F271" s="87">
        <f t="shared" si="89"/>
        <v>346639</v>
      </c>
      <c r="G271" s="87">
        <f t="shared" si="89"/>
        <v>4359865.9</v>
      </c>
      <c r="H271" s="87">
        <f t="shared" si="89"/>
        <v>-2490.0999999999995</v>
      </c>
      <c r="I271" s="87">
        <f t="shared" si="89"/>
        <v>4704014.8</v>
      </c>
      <c r="J271" s="87">
        <f aca="true" t="shared" si="90" ref="J271:O271">SUM(J273:J313)</f>
        <v>71972.90000000001</v>
      </c>
      <c r="K271" s="87">
        <f t="shared" si="90"/>
        <v>2092.5</v>
      </c>
      <c r="L271" s="87">
        <f t="shared" si="90"/>
        <v>4778080.199999999</v>
      </c>
      <c r="M271" s="87">
        <f t="shared" si="90"/>
        <v>63310.100000000006</v>
      </c>
      <c r="N271" s="87">
        <f t="shared" si="90"/>
        <v>0</v>
      </c>
      <c r="O271" s="87">
        <f t="shared" si="90"/>
        <v>4841390.3</v>
      </c>
      <c r="P271" s="60"/>
      <c r="Q271" s="39">
        <f>SUM(Q273:Q313)</f>
        <v>4810191.399999999</v>
      </c>
    </row>
    <row r="272" spans="1:17" ht="12.75">
      <c r="A272" s="9" t="s">
        <v>38</v>
      </c>
      <c r="B272" s="9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55"/>
      <c r="Q272" s="53"/>
    </row>
    <row r="273" spans="1:17" ht="12.75">
      <c r="A273" s="15" t="s">
        <v>100</v>
      </c>
      <c r="B273" s="15"/>
      <c r="C273" s="84">
        <v>325745</v>
      </c>
      <c r="D273" s="84"/>
      <c r="E273" s="84"/>
      <c r="F273" s="84">
        <f>C273+D273+E273</f>
        <v>325745</v>
      </c>
      <c r="G273" s="84">
        <v>660</v>
      </c>
      <c r="H273" s="84">
        <v>1726.8</v>
      </c>
      <c r="I273" s="84">
        <f>F273+G273+H273</f>
        <v>328131.8</v>
      </c>
      <c r="J273" s="84">
        <v>400</v>
      </c>
      <c r="K273" s="84">
        <v>4525.8</v>
      </c>
      <c r="L273" s="84">
        <f>I273+J273+K273</f>
        <v>333057.6</v>
      </c>
      <c r="M273" s="84"/>
      <c r="N273" s="84"/>
      <c r="O273" s="84">
        <f>L273+M273+N273</f>
        <v>333057.6</v>
      </c>
      <c r="P273" s="55"/>
      <c r="Q273" s="53">
        <f aca="true" t="shared" si="91" ref="Q273:Q320">O273+P273</f>
        <v>333057.6</v>
      </c>
    </row>
    <row r="274" spans="1:17" ht="12.75">
      <c r="A274" s="15" t="s">
        <v>117</v>
      </c>
      <c r="B274" s="15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55"/>
      <c r="Q274" s="53"/>
    </row>
    <row r="275" spans="1:17" ht="12.75">
      <c r="A275" s="15" t="s">
        <v>118</v>
      </c>
      <c r="B275" s="15"/>
      <c r="C275" s="84"/>
      <c r="D275" s="84"/>
      <c r="E275" s="84"/>
      <c r="F275" s="84">
        <f aca="true" t="shared" si="92" ref="F275:F313">C275+D275+E275</f>
        <v>0</v>
      </c>
      <c r="G275" s="84">
        <v>1546420</v>
      </c>
      <c r="H275" s="84"/>
      <c r="I275" s="84">
        <f aca="true" t="shared" si="93" ref="I275:I313">F275+G275+H275</f>
        <v>1546420</v>
      </c>
      <c r="J275" s="84"/>
      <c r="K275" s="84"/>
      <c r="L275" s="84">
        <f aca="true" t="shared" si="94" ref="L275:L313">I275+J275+K275</f>
        <v>1546420</v>
      </c>
      <c r="M275" s="84"/>
      <c r="N275" s="84"/>
      <c r="O275" s="84">
        <f aca="true" t="shared" si="95" ref="O275:O313">L275+M275+N275</f>
        <v>1546420</v>
      </c>
      <c r="P275" s="55"/>
      <c r="Q275" s="53">
        <f t="shared" si="91"/>
        <v>1546420</v>
      </c>
    </row>
    <row r="276" spans="1:17" ht="12.75">
      <c r="A276" s="15" t="s">
        <v>119</v>
      </c>
      <c r="B276" s="15"/>
      <c r="C276" s="84"/>
      <c r="D276" s="84"/>
      <c r="E276" s="84"/>
      <c r="F276" s="84">
        <f t="shared" si="92"/>
        <v>0</v>
      </c>
      <c r="G276" s="84">
        <v>48790</v>
      </c>
      <c r="H276" s="84"/>
      <c r="I276" s="84">
        <f t="shared" si="93"/>
        <v>48790</v>
      </c>
      <c r="J276" s="84">
        <v>48160</v>
      </c>
      <c r="K276" s="84"/>
      <c r="L276" s="84">
        <f t="shared" si="94"/>
        <v>96950</v>
      </c>
      <c r="M276" s="84">
        <v>48470</v>
      </c>
      <c r="N276" s="84"/>
      <c r="O276" s="84">
        <f t="shared" si="95"/>
        <v>145420</v>
      </c>
      <c r="P276" s="55"/>
      <c r="Q276" s="53">
        <f t="shared" si="91"/>
        <v>145420</v>
      </c>
    </row>
    <row r="277" spans="1:17" ht="12.75">
      <c r="A277" s="15" t="s">
        <v>120</v>
      </c>
      <c r="B277" s="15"/>
      <c r="C277" s="84"/>
      <c r="D277" s="91"/>
      <c r="E277" s="84"/>
      <c r="F277" s="84">
        <f t="shared" si="92"/>
        <v>0</v>
      </c>
      <c r="G277" s="84">
        <v>2753069</v>
      </c>
      <c r="H277" s="84"/>
      <c r="I277" s="84">
        <f t="shared" si="93"/>
        <v>2753069</v>
      </c>
      <c r="J277" s="84"/>
      <c r="K277" s="84"/>
      <c r="L277" s="84">
        <f t="shared" si="94"/>
        <v>2753069</v>
      </c>
      <c r="M277" s="84"/>
      <c r="N277" s="84"/>
      <c r="O277" s="84">
        <f t="shared" si="95"/>
        <v>2753069</v>
      </c>
      <c r="P277" s="55"/>
      <c r="Q277" s="53">
        <f t="shared" si="91"/>
        <v>2753069</v>
      </c>
    </row>
    <row r="278" spans="1:19" ht="12.75">
      <c r="A278" s="15" t="s">
        <v>121</v>
      </c>
      <c r="B278" s="15">
        <v>33122</v>
      </c>
      <c r="C278" s="84"/>
      <c r="D278" s="84"/>
      <c r="E278" s="84"/>
      <c r="F278" s="84">
        <f t="shared" si="92"/>
        <v>0</v>
      </c>
      <c r="G278" s="84"/>
      <c r="H278" s="84"/>
      <c r="I278" s="84">
        <f t="shared" si="93"/>
        <v>0</v>
      </c>
      <c r="J278" s="84">
        <v>296.7</v>
      </c>
      <c r="K278" s="84"/>
      <c r="L278" s="84">
        <f t="shared" si="94"/>
        <v>296.7</v>
      </c>
      <c r="M278" s="84"/>
      <c r="N278" s="84"/>
      <c r="O278" s="84">
        <f t="shared" si="95"/>
        <v>296.7</v>
      </c>
      <c r="P278" s="55"/>
      <c r="Q278" s="53">
        <f t="shared" si="91"/>
        <v>296.7</v>
      </c>
      <c r="S278" s="36"/>
    </row>
    <row r="279" spans="1:17" ht="12.75" hidden="1">
      <c r="A279" s="15" t="s">
        <v>122</v>
      </c>
      <c r="B279" s="15"/>
      <c r="C279" s="84"/>
      <c r="D279" s="84"/>
      <c r="E279" s="84"/>
      <c r="F279" s="84">
        <f t="shared" si="92"/>
        <v>0</v>
      </c>
      <c r="G279" s="84"/>
      <c r="H279" s="84"/>
      <c r="I279" s="84">
        <f t="shared" si="93"/>
        <v>0</v>
      </c>
      <c r="J279" s="84"/>
      <c r="K279" s="84"/>
      <c r="L279" s="84">
        <f t="shared" si="94"/>
        <v>0</v>
      </c>
      <c r="M279" s="84"/>
      <c r="N279" s="84"/>
      <c r="O279" s="84">
        <f t="shared" si="95"/>
        <v>0</v>
      </c>
      <c r="P279" s="55"/>
      <c r="Q279" s="53">
        <f t="shared" si="91"/>
        <v>0</v>
      </c>
    </row>
    <row r="280" spans="1:17" ht="12.75" hidden="1">
      <c r="A280" s="15" t="s">
        <v>238</v>
      </c>
      <c r="B280" s="15"/>
      <c r="C280" s="84"/>
      <c r="D280" s="84"/>
      <c r="E280" s="84"/>
      <c r="F280" s="84">
        <f t="shared" si="92"/>
        <v>0</v>
      </c>
      <c r="G280" s="84"/>
      <c r="H280" s="84"/>
      <c r="I280" s="84">
        <f t="shared" si="93"/>
        <v>0</v>
      </c>
      <c r="J280" s="84"/>
      <c r="K280" s="84"/>
      <c r="L280" s="84">
        <f t="shared" si="94"/>
        <v>0</v>
      </c>
      <c r="M280" s="84"/>
      <c r="N280" s="84"/>
      <c r="O280" s="84">
        <f t="shared" si="95"/>
        <v>0</v>
      </c>
      <c r="P280" s="55"/>
      <c r="Q280" s="53">
        <f t="shared" si="91"/>
        <v>0</v>
      </c>
    </row>
    <row r="281" spans="1:17" ht="12.75" hidden="1">
      <c r="A281" s="15" t="s">
        <v>123</v>
      </c>
      <c r="B281" s="15"/>
      <c r="C281" s="84"/>
      <c r="D281" s="84"/>
      <c r="E281" s="84"/>
      <c r="F281" s="84">
        <f t="shared" si="92"/>
        <v>0</v>
      </c>
      <c r="G281" s="84"/>
      <c r="H281" s="84"/>
      <c r="I281" s="84">
        <f t="shared" si="93"/>
        <v>0</v>
      </c>
      <c r="J281" s="84"/>
      <c r="K281" s="84"/>
      <c r="L281" s="84">
        <f t="shared" si="94"/>
        <v>0</v>
      </c>
      <c r="M281" s="84"/>
      <c r="N281" s="84"/>
      <c r="O281" s="84">
        <f t="shared" si="95"/>
        <v>0</v>
      </c>
      <c r="P281" s="55"/>
      <c r="Q281" s="53">
        <f t="shared" si="91"/>
        <v>0</v>
      </c>
    </row>
    <row r="282" spans="1:17" ht="12.75" hidden="1">
      <c r="A282" s="15" t="s">
        <v>192</v>
      </c>
      <c r="B282" s="15"/>
      <c r="C282" s="84"/>
      <c r="D282" s="84"/>
      <c r="E282" s="84"/>
      <c r="F282" s="84">
        <f t="shared" si="92"/>
        <v>0</v>
      </c>
      <c r="G282" s="84"/>
      <c r="H282" s="84"/>
      <c r="I282" s="84">
        <f t="shared" si="93"/>
        <v>0</v>
      </c>
      <c r="J282" s="84"/>
      <c r="K282" s="84"/>
      <c r="L282" s="84">
        <f t="shared" si="94"/>
        <v>0</v>
      </c>
      <c r="M282" s="84"/>
      <c r="N282" s="84"/>
      <c r="O282" s="84">
        <f t="shared" si="95"/>
        <v>0</v>
      </c>
      <c r="P282" s="55"/>
      <c r="Q282" s="53">
        <f t="shared" si="91"/>
        <v>0</v>
      </c>
    </row>
    <row r="283" spans="1:17" ht="12.75" hidden="1">
      <c r="A283" s="15" t="s">
        <v>124</v>
      </c>
      <c r="B283" s="15"/>
      <c r="C283" s="84"/>
      <c r="D283" s="84"/>
      <c r="E283" s="84"/>
      <c r="F283" s="84">
        <f t="shared" si="92"/>
        <v>0</v>
      </c>
      <c r="G283" s="84"/>
      <c r="H283" s="84"/>
      <c r="I283" s="84">
        <f t="shared" si="93"/>
        <v>0</v>
      </c>
      <c r="J283" s="84"/>
      <c r="K283" s="84"/>
      <c r="L283" s="84">
        <f t="shared" si="94"/>
        <v>0</v>
      </c>
      <c r="M283" s="84"/>
      <c r="N283" s="84"/>
      <c r="O283" s="84">
        <f t="shared" si="95"/>
        <v>0</v>
      </c>
      <c r="P283" s="55"/>
      <c r="Q283" s="53">
        <f t="shared" si="91"/>
        <v>0</v>
      </c>
    </row>
    <row r="284" spans="1:17" ht="12.75">
      <c r="A284" s="15" t="s">
        <v>125</v>
      </c>
      <c r="B284" s="106">
        <v>33215.33457</v>
      </c>
      <c r="C284" s="84"/>
      <c r="D284" s="84"/>
      <c r="E284" s="84"/>
      <c r="F284" s="84">
        <f t="shared" si="92"/>
        <v>0</v>
      </c>
      <c r="G284" s="84">
        <v>5119.4</v>
      </c>
      <c r="H284" s="84"/>
      <c r="I284" s="84">
        <f t="shared" si="93"/>
        <v>5119.4</v>
      </c>
      <c r="J284" s="84">
        <f>5993.1+26.7</f>
        <v>6019.8</v>
      </c>
      <c r="K284" s="84"/>
      <c r="L284" s="84">
        <f t="shared" si="94"/>
        <v>11139.2</v>
      </c>
      <c r="M284" s="84">
        <v>-309.5</v>
      </c>
      <c r="N284" s="84"/>
      <c r="O284" s="84">
        <f t="shared" si="95"/>
        <v>10829.7</v>
      </c>
      <c r="P284" s="55"/>
      <c r="Q284" s="53">
        <f t="shared" si="91"/>
        <v>10829.7</v>
      </c>
    </row>
    <row r="285" spans="1:17" ht="12.75" hidden="1">
      <c r="A285" s="15" t="s">
        <v>235</v>
      </c>
      <c r="B285" s="15"/>
      <c r="C285" s="84"/>
      <c r="D285" s="84"/>
      <c r="E285" s="84"/>
      <c r="F285" s="84">
        <f t="shared" si="92"/>
        <v>0</v>
      </c>
      <c r="G285" s="84"/>
      <c r="H285" s="84"/>
      <c r="I285" s="84">
        <f t="shared" si="93"/>
        <v>0</v>
      </c>
      <c r="J285" s="84"/>
      <c r="K285" s="84"/>
      <c r="L285" s="84">
        <f t="shared" si="94"/>
        <v>0</v>
      </c>
      <c r="M285" s="84"/>
      <c r="N285" s="84"/>
      <c r="O285" s="84">
        <f t="shared" si="95"/>
        <v>0</v>
      </c>
      <c r="P285" s="55"/>
      <c r="Q285" s="53">
        <f t="shared" si="91"/>
        <v>0</v>
      </c>
    </row>
    <row r="286" spans="1:17" ht="12.75" hidden="1">
      <c r="A286" s="32" t="s">
        <v>232</v>
      </c>
      <c r="B286" s="32"/>
      <c r="C286" s="84"/>
      <c r="D286" s="84"/>
      <c r="E286" s="84"/>
      <c r="F286" s="84">
        <f t="shared" si="92"/>
        <v>0</v>
      </c>
      <c r="G286" s="84"/>
      <c r="H286" s="84"/>
      <c r="I286" s="84">
        <f t="shared" si="93"/>
        <v>0</v>
      </c>
      <c r="J286" s="84"/>
      <c r="K286" s="84"/>
      <c r="L286" s="84">
        <f t="shared" si="94"/>
        <v>0</v>
      </c>
      <c r="M286" s="84"/>
      <c r="N286" s="84"/>
      <c r="O286" s="84">
        <f t="shared" si="95"/>
        <v>0</v>
      </c>
      <c r="P286" s="55"/>
      <c r="Q286" s="53">
        <f t="shared" si="91"/>
        <v>0</v>
      </c>
    </row>
    <row r="287" spans="1:17" ht="12.75" hidden="1">
      <c r="A287" s="32" t="s">
        <v>245</v>
      </c>
      <c r="B287" s="32"/>
      <c r="C287" s="84"/>
      <c r="D287" s="84"/>
      <c r="E287" s="84"/>
      <c r="F287" s="84">
        <f t="shared" si="92"/>
        <v>0</v>
      </c>
      <c r="G287" s="84"/>
      <c r="H287" s="84"/>
      <c r="I287" s="84">
        <f t="shared" si="93"/>
        <v>0</v>
      </c>
      <c r="J287" s="84"/>
      <c r="K287" s="84"/>
      <c r="L287" s="84">
        <f t="shared" si="94"/>
        <v>0</v>
      </c>
      <c r="M287" s="84"/>
      <c r="N287" s="84"/>
      <c r="O287" s="84">
        <f t="shared" si="95"/>
        <v>0</v>
      </c>
      <c r="P287" s="55"/>
      <c r="Q287" s="53">
        <f t="shared" si="91"/>
        <v>0</v>
      </c>
    </row>
    <row r="288" spans="1:17" ht="12.75">
      <c r="A288" s="15" t="s">
        <v>231</v>
      </c>
      <c r="B288" s="107">
        <v>33435</v>
      </c>
      <c r="C288" s="84"/>
      <c r="D288" s="84"/>
      <c r="E288" s="84"/>
      <c r="F288" s="84">
        <f t="shared" si="92"/>
        <v>0</v>
      </c>
      <c r="G288" s="84">
        <v>1292</v>
      </c>
      <c r="H288" s="84"/>
      <c r="I288" s="84">
        <f t="shared" si="93"/>
        <v>1292</v>
      </c>
      <c r="J288" s="84"/>
      <c r="K288" s="84"/>
      <c r="L288" s="84">
        <f t="shared" si="94"/>
        <v>1292</v>
      </c>
      <c r="M288" s="84"/>
      <c r="N288" s="84"/>
      <c r="O288" s="84">
        <f t="shared" si="95"/>
        <v>1292</v>
      </c>
      <c r="P288" s="55"/>
      <c r="Q288" s="53">
        <f t="shared" si="91"/>
        <v>1292</v>
      </c>
    </row>
    <row r="289" spans="1:17" ht="12.75">
      <c r="A289" s="32" t="s">
        <v>311</v>
      </c>
      <c r="B289" s="108">
        <v>33024</v>
      </c>
      <c r="C289" s="84"/>
      <c r="D289" s="84"/>
      <c r="E289" s="84"/>
      <c r="F289" s="84">
        <f t="shared" si="92"/>
        <v>0</v>
      </c>
      <c r="G289" s="84">
        <v>144</v>
      </c>
      <c r="H289" s="84"/>
      <c r="I289" s="84">
        <f t="shared" si="93"/>
        <v>144</v>
      </c>
      <c r="J289" s="84"/>
      <c r="K289" s="84"/>
      <c r="L289" s="84">
        <f t="shared" si="94"/>
        <v>144</v>
      </c>
      <c r="M289" s="84"/>
      <c r="N289" s="84"/>
      <c r="O289" s="84">
        <f t="shared" si="95"/>
        <v>144</v>
      </c>
      <c r="P289" s="55"/>
      <c r="Q289" s="53">
        <f t="shared" si="91"/>
        <v>144</v>
      </c>
    </row>
    <row r="290" spans="1:17" ht="12.75">
      <c r="A290" s="32" t="s">
        <v>244</v>
      </c>
      <c r="B290" s="108">
        <v>33018</v>
      </c>
      <c r="C290" s="84"/>
      <c r="D290" s="84"/>
      <c r="E290" s="84"/>
      <c r="F290" s="84">
        <f t="shared" si="92"/>
        <v>0</v>
      </c>
      <c r="G290" s="84"/>
      <c r="H290" s="84"/>
      <c r="I290" s="84">
        <f t="shared" si="93"/>
        <v>0</v>
      </c>
      <c r="J290" s="84"/>
      <c r="K290" s="84"/>
      <c r="L290" s="84">
        <f t="shared" si="94"/>
        <v>0</v>
      </c>
      <c r="M290" s="84">
        <v>121.4</v>
      </c>
      <c r="N290" s="84"/>
      <c r="O290" s="84">
        <f t="shared" si="95"/>
        <v>121.4</v>
      </c>
      <c r="P290" s="55"/>
      <c r="Q290" s="53">
        <f t="shared" si="91"/>
        <v>121.4</v>
      </c>
    </row>
    <row r="291" spans="1:17" ht="12.75" hidden="1">
      <c r="A291" s="13" t="s">
        <v>246</v>
      </c>
      <c r="B291" s="109"/>
      <c r="C291" s="84"/>
      <c r="D291" s="84"/>
      <c r="E291" s="84"/>
      <c r="F291" s="84">
        <f t="shared" si="92"/>
        <v>0</v>
      </c>
      <c r="G291" s="84"/>
      <c r="H291" s="84"/>
      <c r="I291" s="84">
        <f t="shared" si="93"/>
        <v>0</v>
      </c>
      <c r="J291" s="84"/>
      <c r="K291" s="84"/>
      <c r="L291" s="84">
        <f t="shared" si="94"/>
        <v>0</v>
      </c>
      <c r="M291" s="84"/>
      <c r="N291" s="84"/>
      <c r="O291" s="84">
        <f t="shared" si="95"/>
        <v>0</v>
      </c>
      <c r="P291" s="55"/>
      <c r="Q291" s="53">
        <f t="shared" si="91"/>
        <v>0</v>
      </c>
    </row>
    <row r="292" spans="1:17" ht="12.75">
      <c r="A292" s="32" t="s">
        <v>362</v>
      </c>
      <c r="B292" s="108">
        <v>33160</v>
      </c>
      <c r="C292" s="84"/>
      <c r="D292" s="84"/>
      <c r="E292" s="84"/>
      <c r="F292" s="84">
        <f t="shared" si="92"/>
        <v>0</v>
      </c>
      <c r="G292" s="84"/>
      <c r="H292" s="84"/>
      <c r="I292" s="84">
        <f t="shared" si="93"/>
        <v>0</v>
      </c>
      <c r="J292" s="84"/>
      <c r="K292" s="84">
        <v>163.3</v>
      </c>
      <c r="L292" s="84">
        <f t="shared" si="94"/>
        <v>163.3</v>
      </c>
      <c r="M292" s="84">
        <v>-70.2</v>
      </c>
      <c r="N292" s="84"/>
      <c r="O292" s="84">
        <f t="shared" si="95"/>
        <v>93.10000000000001</v>
      </c>
      <c r="P292" s="55"/>
      <c r="Q292" s="53">
        <f t="shared" si="91"/>
        <v>93.10000000000001</v>
      </c>
    </row>
    <row r="293" spans="1:17" ht="12.75" hidden="1">
      <c r="A293" s="15" t="s">
        <v>213</v>
      </c>
      <c r="B293" s="107"/>
      <c r="C293" s="84"/>
      <c r="D293" s="84"/>
      <c r="E293" s="84"/>
      <c r="F293" s="84">
        <f t="shared" si="92"/>
        <v>0</v>
      </c>
      <c r="G293" s="84"/>
      <c r="H293" s="84"/>
      <c r="I293" s="84">
        <f t="shared" si="93"/>
        <v>0</v>
      </c>
      <c r="J293" s="84"/>
      <c r="K293" s="84"/>
      <c r="L293" s="84">
        <f t="shared" si="94"/>
        <v>0</v>
      </c>
      <c r="M293" s="84"/>
      <c r="N293" s="84"/>
      <c r="O293" s="84">
        <f t="shared" si="95"/>
        <v>0</v>
      </c>
      <c r="P293" s="55"/>
      <c r="Q293" s="53">
        <f t="shared" si="91"/>
        <v>0</v>
      </c>
    </row>
    <row r="294" spans="1:17" ht="12.75">
      <c r="A294" s="15" t="s">
        <v>385</v>
      </c>
      <c r="B294" s="107">
        <v>33043</v>
      </c>
      <c r="C294" s="84"/>
      <c r="D294" s="84"/>
      <c r="E294" s="84"/>
      <c r="F294" s="84">
        <f t="shared" si="92"/>
        <v>0</v>
      </c>
      <c r="G294" s="84"/>
      <c r="H294" s="84"/>
      <c r="I294" s="84">
        <f t="shared" si="93"/>
        <v>0</v>
      </c>
      <c r="J294" s="84"/>
      <c r="K294" s="84"/>
      <c r="L294" s="84">
        <f t="shared" si="94"/>
        <v>0</v>
      </c>
      <c r="M294" s="84">
        <v>80.1</v>
      </c>
      <c r="N294" s="84"/>
      <c r="O294" s="84">
        <f t="shared" si="95"/>
        <v>80.1</v>
      </c>
      <c r="P294" s="55"/>
      <c r="Q294" s="53">
        <f t="shared" si="91"/>
        <v>80.1</v>
      </c>
    </row>
    <row r="295" spans="1:17" ht="12.75" hidden="1">
      <c r="A295" s="15" t="s">
        <v>126</v>
      </c>
      <c r="B295" s="107"/>
      <c r="C295" s="84"/>
      <c r="D295" s="84"/>
      <c r="E295" s="84"/>
      <c r="F295" s="84">
        <f t="shared" si="92"/>
        <v>0</v>
      </c>
      <c r="G295" s="84"/>
      <c r="H295" s="84"/>
      <c r="I295" s="84">
        <f t="shared" si="93"/>
        <v>0</v>
      </c>
      <c r="J295" s="84"/>
      <c r="K295" s="84"/>
      <c r="L295" s="84">
        <f t="shared" si="94"/>
        <v>0</v>
      </c>
      <c r="M295" s="84"/>
      <c r="N295" s="84"/>
      <c r="O295" s="84">
        <f t="shared" si="95"/>
        <v>0</v>
      </c>
      <c r="P295" s="55"/>
      <c r="Q295" s="53">
        <f t="shared" si="91"/>
        <v>0</v>
      </c>
    </row>
    <row r="296" spans="1:17" ht="12.75" hidden="1">
      <c r="A296" s="15" t="s">
        <v>184</v>
      </c>
      <c r="B296" s="107"/>
      <c r="C296" s="84"/>
      <c r="D296" s="84"/>
      <c r="E296" s="84"/>
      <c r="F296" s="84">
        <f t="shared" si="92"/>
        <v>0</v>
      </c>
      <c r="G296" s="84"/>
      <c r="H296" s="84"/>
      <c r="I296" s="84">
        <f t="shared" si="93"/>
        <v>0</v>
      </c>
      <c r="J296" s="84"/>
      <c r="K296" s="84"/>
      <c r="L296" s="84">
        <f t="shared" si="94"/>
        <v>0</v>
      </c>
      <c r="M296" s="84"/>
      <c r="N296" s="84"/>
      <c r="O296" s="84">
        <f t="shared" si="95"/>
        <v>0</v>
      </c>
      <c r="P296" s="55"/>
      <c r="Q296" s="53">
        <f t="shared" si="91"/>
        <v>0</v>
      </c>
    </row>
    <row r="297" spans="1:17" ht="12.75" hidden="1">
      <c r="A297" s="32" t="s">
        <v>183</v>
      </c>
      <c r="B297" s="108"/>
      <c r="C297" s="84"/>
      <c r="D297" s="84"/>
      <c r="E297" s="84"/>
      <c r="F297" s="84">
        <f t="shared" si="92"/>
        <v>0</v>
      </c>
      <c r="G297" s="84"/>
      <c r="H297" s="84"/>
      <c r="I297" s="84">
        <f t="shared" si="93"/>
        <v>0</v>
      </c>
      <c r="J297" s="84"/>
      <c r="K297" s="84"/>
      <c r="L297" s="84">
        <f t="shared" si="94"/>
        <v>0</v>
      </c>
      <c r="M297" s="84"/>
      <c r="N297" s="84"/>
      <c r="O297" s="84">
        <f t="shared" si="95"/>
        <v>0</v>
      </c>
      <c r="P297" s="55"/>
      <c r="Q297" s="53">
        <f t="shared" si="91"/>
        <v>0</v>
      </c>
    </row>
    <row r="298" spans="1:17" ht="12.75" hidden="1">
      <c r="A298" s="32" t="s">
        <v>212</v>
      </c>
      <c r="B298" s="108"/>
      <c r="C298" s="84"/>
      <c r="D298" s="84"/>
      <c r="E298" s="84"/>
      <c r="F298" s="84">
        <f t="shared" si="92"/>
        <v>0</v>
      </c>
      <c r="G298" s="84"/>
      <c r="H298" s="84"/>
      <c r="I298" s="84">
        <f t="shared" si="93"/>
        <v>0</v>
      </c>
      <c r="J298" s="84"/>
      <c r="K298" s="84"/>
      <c r="L298" s="84">
        <f t="shared" si="94"/>
        <v>0</v>
      </c>
      <c r="M298" s="84"/>
      <c r="N298" s="84"/>
      <c r="O298" s="84">
        <f t="shared" si="95"/>
        <v>0</v>
      </c>
      <c r="P298" s="55"/>
      <c r="Q298" s="53">
        <f t="shared" si="91"/>
        <v>0</v>
      </c>
    </row>
    <row r="299" spans="1:17" ht="12.75">
      <c r="A299" s="32" t="s">
        <v>364</v>
      </c>
      <c r="B299" s="108">
        <v>33040</v>
      </c>
      <c r="C299" s="84"/>
      <c r="D299" s="84"/>
      <c r="E299" s="84"/>
      <c r="F299" s="84"/>
      <c r="G299" s="84"/>
      <c r="H299" s="84"/>
      <c r="I299" s="84"/>
      <c r="J299" s="84"/>
      <c r="K299" s="84"/>
      <c r="L299" s="84">
        <f t="shared" si="94"/>
        <v>0</v>
      </c>
      <c r="M299" s="84">
        <v>100</v>
      </c>
      <c r="N299" s="84"/>
      <c r="O299" s="84">
        <f t="shared" si="95"/>
        <v>100</v>
      </c>
      <c r="P299" s="55"/>
      <c r="Q299" s="53"/>
    </row>
    <row r="300" spans="1:17" ht="12.75">
      <c r="A300" s="15" t="s">
        <v>127</v>
      </c>
      <c r="B300" s="107">
        <v>33025</v>
      </c>
      <c r="C300" s="84"/>
      <c r="D300" s="84"/>
      <c r="E300" s="84"/>
      <c r="F300" s="84">
        <f t="shared" si="92"/>
        <v>0</v>
      </c>
      <c r="G300" s="84"/>
      <c r="H300" s="84"/>
      <c r="I300" s="84">
        <f t="shared" si="93"/>
        <v>0</v>
      </c>
      <c r="J300" s="84">
        <v>330</v>
      </c>
      <c r="K300" s="84"/>
      <c r="L300" s="84">
        <f t="shared" si="94"/>
        <v>330</v>
      </c>
      <c r="M300" s="84"/>
      <c r="N300" s="84"/>
      <c r="O300" s="84">
        <f t="shared" si="95"/>
        <v>330</v>
      </c>
      <c r="P300" s="55"/>
      <c r="Q300" s="53">
        <f t="shared" si="91"/>
        <v>330</v>
      </c>
    </row>
    <row r="301" spans="1:17" ht="12.75">
      <c r="A301" s="15" t="s">
        <v>259</v>
      </c>
      <c r="B301" s="107">
        <v>33038</v>
      </c>
      <c r="C301" s="84"/>
      <c r="D301" s="84"/>
      <c r="E301" s="84"/>
      <c r="F301" s="84">
        <f t="shared" si="92"/>
        <v>0</v>
      </c>
      <c r="G301" s="84"/>
      <c r="H301" s="84"/>
      <c r="I301" s="84">
        <f t="shared" si="93"/>
        <v>0</v>
      </c>
      <c r="J301" s="84">
        <v>1316.3</v>
      </c>
      <c r="K301" s="84"/>
      <c r="L301" s="84">
        <f t="shared" si="94"/>
        <v>1316.3</v>
      </c>
      <c r="M301" s="84"/>
      <c r="N301" s="84"/>
      <c r="O301" s="84">
        <f t="shared" si="95"/>
        <v>1316.3</v>
      </c>
      <c r="P301" s="55"/>
      <c r="Q301" s="53">
        <f t="shared" si="91"/>
        <v>1316.3</v>
      </c>
    </row>
    <row r="302" spans="1:17" ht="12.75">
      <c r="A302" s="15" t="s">
        <v>320</v>
      </c>
      <c r="B302" s="101">
        <v>5400</v>
      </c>
      <c r="C302" s="84"/>
      <c r="D302" s="84"/>
      <c r="E302" s="84"/>
      <c r="F302" s="84">
        <f t="shared" si="92"/>
        <v>0</v>
      </c>
      <c r="G302" s="84">
        <v>0.2</v>
      </c>
      <c r="H302" s="84"/>
      <c r="I302" s="84">
        <f t="shared" si="93"/>
        <v>0.2</v>
      </c>
      <c r="J302" s="84"/>
      <c r="K302" s="84"/>
      <c r="L302" s="84">
        <f t="shared" si="94"/>
        <v>0.2</v>
      </c>
      <c r="M302" s="84"/>
      <c r="N302" s="84"/>
      <c r="O302" s="84">
        <f t="shared" si="95"/>
        <v>0.2</v>
      </c>
      <c r="P302" s="55"/>
      <c r="Q302" s="53">
        <f t="shared" si="91"/>
        <v>0.2</v>
      </c>
    </row>
    <row r="303" spans="1:17" ht="12.75" hidden="1">
      <c r="A303" s="15" t="s">
        <v>189</v>
      </c>
      <c r="B303" s="107"/>
      <c r="C303" s="84"/>
      <c r="D303" s="84"/>
      <c r="E303" s="84"/>
      <c r="F303" s="84">
        <f t="shared" si="92"/>
        <v>0</v>
      </c>
      <c r="G303" s="84"/>
      <c r="H303" s="84"/>
      <c r="I303" s="84">
        <f t="shared" si="93"/>
        <v>0</v>
      </c>
      <c r="J303" s="84"/>
      <c r="K303" s="84"/>
      <c r="L303" s="84">
        <f t="shared" si="94"/>
        <v>0</v>
      </c>
      <c r="M303" s="84"/>
      <c r="N303" s="84"/>
      <c r="O303" s="84">
        <f t="shared" si="95"/>
        <v>0</v>
      </c>
      <c r="P303" s="55"/>
      <c r="Q303" s="53">
        <f t="shared" si="91"/>
        <v>0</v>
      </c>
    </row>
    <row r="304" spans="1:17" ht="12.75" hidden="1">
      <c r="A304" s="32" t="s">
        <v>255</v>
      </c>
      <c r="B304" s="108"/>
      <c r="C304" s="84"/>
      <c r="D304" s="84"/>
      <c r="E304" s="84"/>
      <c r="F304" s="84">
        <f t="shared" si="92"/>
        <v>0</v>
      </c>
      <c r="G304" s="84"/>
      <c r="H304" s="84"/>
      <c r="I304" s="84">
        <f t="shared" si="93"/>
        <v>0</v>
      </c>
      <c r="J304" s="84"/>
      <c r="K304" s="84"/>
      <c r="L304" s="84">
        <f t="shared" si="94"/>
        <v>0</v>
      </c>
      <c r="M304" s="84"/>
      <c r="N304" s="84"/>
      <c r="O304" s="84">
        <f t="shared" si="95"/>
        <v>0</v>
      </c>
      <c r="P304" s="55"/>
      <c r="Q304" s="53">
        <f t="shared" si="91"/>
        <v>0</v>
      </c>
    </row>
    <row r="305" spans="1:17" ht="12.75" hidden="1">
      <c r="A305" s="32" t="s">
        <v>239</v>
      </c>
      <c r="B305" s="108"/>
      <c r="C305" s="84"/>
      <c r="D305" s="84"/>
      <c r="E305" s="84"/>
      <c r="F305" s="84">
        <f t="shared" si="92"/>
        <v>0</v>
      </c>
      <c r="G305" s="84"/>
      <c r="H305" s="84"/>
      <c r="I305" s="84">
        <f t="shared" si="93"/>
        <v>0</v>
      </c>
      <c r="J305" s="84"/>
      <c r="K305" s="84"/>
      <c r="L305" s="84">
        <f t="shared" si="94"/>
        <v>0</v>
      </c>
      <c r="M305" s="84"/>
      <c r="N305" s="84"/>
      <c r="O305" s="84">
        <f t="shared" si="95"/>
        <v>0</v>
      </c>
      <c r="P305" s="55"/>
      <c r="Q305" s="53">
        <f t="shared" si="91"/>
        <v>0</v>
      </c>
    </row>
    <row r="306" spans="1:17" ht="12.75" hidden="1">
      <c r="A306" s="15" t="s">
        <v>199</v>
      </c>
      <c r="B306" s="107"/>
      <c r="C306" s="84"/>
      <c r="D306" s="84"/>
      <c r="E306" s="84"/>
      <c r="F306" s="84">
        <f t="shared" si="92"/>
        <v>0</v>
      </c>
      <c r="G306" s="84"/>
      <c r="H306" s="84"/>
      <c r="I306" s="84">
        <f t="shared" si="93"/>
        <v>0</v>
      </c>
      <c r="J306" s="84"/>
      <c r="K306" s="84"/>
      <c r="L306" s="84">
        <f t="shared" si="94"/>
        <v>0</v>
      </c>
      <c r="M306" s="84"/>
      <c r="N306" s="84"/>
      <c r="O306" s="84">
        <f t="shared" si="95"/>
        <v>0</v>
      </c>
      <c r="P306" s="55"/>
      <c r="Q306" s="53">
        <f t="shared" si="91"/>
        <v>0</v>
      </c>
    </row>
    <row r="307" spans="1:17" ht="12.75">
      <c r="A307" s="15" t="s">
        <v>258</v>
      </c>
      <c r="B307" s="107">
        <v>33031</v>
      </c>
      <c r="C307" s="84"/>
      <c r="D307" s="84"/>
      <c r="E307" s="84"/>
      <c r="F307" s="84">
        <f t="shared" si="92"/>
        <v>0</v>
      </c>
      <c r="G307" s="84">
        <f>233.7+838.7+1445.4+1853.5</f>
        <v>4371.3</v>
      </c>
      <c r="H307" s="84"/>
      <c r="I307" s="84">
        <f t="shared" si="93"/>
        <v>4371.3</v>
      </c>
      <c r="J307" s="84">
        <f>354+385.1+4206.7+3582.6+3040.9</f>
        <v>11569.3</v>
      </c>
      <c r="K307" s="84"/>
      <c r="L307" s="84">
        <f t="shared" si="94"/>
        <v>15940.599999999999</v>
      </c>
      <c r="M307" s="84">
        <f>1186.3+549.3+863.6+389.3+1787.3+1082.2+1121.5+3025.8+2237.2+2675.8</f>
        <v>14918.3</v>
      </c>
      <c r="N307" s="84"/>
      <c r="O307" s="84">
        <f t="shared" si="95"/>
        <v>30858.899999999998</v>
      </c>
      <c r="P307" s="55"/>
      <c r="Q307" s="53"/>
    </row>
    <row r="308" spans="1:17" ht="12.75" hidden="1">
      <c r="A308" s="15" t="s">
        <v>204</v>
      </c>
      <c r="B308" s="15"/>
      <c r="C308" s="84"/>
      <c r="D308" s="84"/>
      <c r="E308" s="84"/>
      <c r="F308" s="84">
        <f t="shared" si="92"/>
        <v>0</v>
      </c>
      <c r="G308" s="84"/>
      <c r="H308" s="84"/>
      <c r="I308" s="84">
        <f t="shared" si="93"/>
        <v>0</v>
      </c>
      <c r="J308" s="84"/>
      <c r="K308" s="84"/>
      <c r="L308" s="84">
        <f t="shared" si="94"/>
        <v>0</v>
      </c>
      <c r="M308" s="84"/>
      <c r="N308" s="84"/>
      <c r="O308" s="84">
        <f t="shared" si="95"/>
        <v>0</v>
      </c>
      <c r="P308" s="55"/>
      <c r="Q308" s="53">
        <f t="shared" si="91"/>
        <v>0</v>
      </c>
    </row>
    <row r="309" spans="1:17" ht="12.75" hidden="1">
      <c r="A309" s="32" t="s">
        <v>209</v>
      </c>
      <c r="B309" s="32"/>
      <c r="C309" s="84"/>
      <c r="D309" s="84"/>
      <c r="E309" s="84"/>
      <c r="F309" s="84">
        <f t="shared" si="92"/>
        <v>0</v>
      </c>
      <c r="G309" s="84"/>
      <c r="H309" s="84"/>
      <c r="I309" s="84">
        <f t="shared" si="93"/>
        <v>0</v>
      </c>
      <c r="J309" s="84"/>
      <c r="K309" s="84"/>
      <c r="L309" s="84">
        <f t="shared" si="94"/>
        <v>0</v>
      </c>
      <c r="M309" s="84"/>
      <c r="N309" s="84"/>
      <c r="O309" s="84">
        <f t="shared" si="95"/>
        <v>0</v>
      </c>
      <c r="P309" s="55"/>
      <c r="Q309" s="53">
        <f t="shared" si="91"/>
        <v>0</v>
      </c>
    </row>
    <row r="310" spans="1:17" ht="12.75" hidden="1">
      <c r="A310" s="15" t="s">
        <v>216</v>
      </c>
      <c r="B310" s="15"/>
      <c r="C310" s="84"/>
      <c r="D310" s="84"/>
      <c r="E310" s="84"/>
      <c r="F310" s="84">
        <f t="shared" si="92"/>
        <v>0</v>
      </c>
      <c r="G310" s="84"/>
      <c r="H310" s="84"/>
      <c r="I310" s="84">
        <f t="shared" si="93"/>
        <v>0</v>
      </c>
      <c r="J310" s="84"/>
      <c r="K310" s="84"/>
      <c r="L310" s="84">
        <f t="shared" si="94"/>
        <v>0</v>
      </c>
      <c r="M310" s="84"/>
      <c r="N310" s="84"/>
      <c r="O310" s="84">
        <f t="shared" si="95"/>
        <v>0</v>
      </c>
      <c r="P310" s="55"/>
      <c r="Q310" s="53">
        <f t="shared" si="91"/>
        <v>0</v>
      </c>
    </row>
    <row r="311" spans="1:17" ht="12.75">
      <c r="A311" s="15" t="s">
        <v>104</v>
      </c>
      <c r="B311" s="15"/>
      <c r="C311" s="84"/>
      <c r="D311" s="84"/>
      <c r="E311" s="84"/>
      <c r="F311" s="84"/>
      <c r="G311" s="84"/>
      <c r="H311" s="84"/>
      <c r="I311" s="84">
        <f t="shared" si="93"/>
        <v>0</v>
      </c>
      <c r="J311" s="84">
        <v>240</v>
      </c>
      <c r="K311" s="84"/>
      <c r="L311" s="84">
        <f t="shared" si="94"/>
        <v>240</v>
      </c>
      <c r="M311" s="84"/>
      <c r="N311" s="84"/>
      <c r="O311" s="84">
        <f t="shared" si="95"/>
        <v>240</v>
      </c>
      <c r="P311" s="55"/>
      <c r="Q311" s="53"/>
    </row>
    <row r="312" spans="1:17" ht="12.75" hidden="1">
      <c r="A312" s="15" t="s">
        <v>128</v>
      </c>
      <c r="B312" s="15"/>
      <c r="C312" s="84"/>
      <c r="D312" s="84"/>
      <c r="E312" s="84"/>
      <c r="F312" s="84">
        <f t="shared" si="92"/>
        <v>0</v>
      </c>
      <c r="G312" s="84"/>
      <c r="H312" s="84"/>
      <c r="I312" s="84">
        <f t="shared" si="93"/>
        <v>0</v>
      </c>
      <c r="J312" s="84"/>
      <c r="K312" s="84"/>
      <c r="L312" s="84">
        <f t="shared" si="94"/>
        <v>0</v>
      </c>
      <c r="M312" s="84"/>
      <c r="N312" s="84"/>
      <c r="O312" s="84">
        <f t="shared" si="95"/>
        <v>0</v>
      </c>
      <c r="P312" s="55"/>
      <c r="Q312" s="53">
        <f t="shared" si="91"/>
        <v>0</v>
      </c>
    </row>
    <row r="313" spans="1:17" ht="12.75">
      <c r="A313" s="22" t="s">
        <v>72</v>
      </c>
      <c r="B313" s="22"/>
      <c r="C313" s="88">
        <v>20894</v>
      </c>
      <c r="D313" s="88"/>
      <c r="E313" s="88"/>
      <c r="F313" s="88">
        <f t="shared" si="92"/>
        <v>20894</v>
      </c>
      <c r="G313" s="88"/>
      <c r="H313" s="88">
        <v>-4216.9</v>
      </c>
      <c r="I313" s="88">
        <f t="shared" si="93"/>
        <v>16677.1</v>
      </c>
      <c r="J313" s="88">
        <f>487.8+153+3000</f>
        <v>3640.8</v>
      </c>
      <c r="K313" s="88">
        <f>-3534.3+937.7</f>
        <v>-2596.6000000000004</v>
      </c>
      <c r="L313" s="88">
        <f t="shared" si="94"/>
        <v>17721.299999999996</v>
      </c>
      <c r="M313" s="92"/>
      <c r="N313" s="88"/>
      <c r="O313" s="88">
        <f t="shared" si="95"/>
        <v>17721.299999999996</v>
      </c>
      <c r="P313" s="55"/>
      <c r="Q313" s="53">
        <f t="shared" si="91"/>
        <v>17721.299999999996</v>
      </c>
    </row>
    <row r="314" spans="1:17" ht="12.75" hidden="1">
      <c r="A314" s="18" t="s">
        <v>75</v>
      </c>
      <c r="B314" s="18"/>
      <c r="C314" s="89">
        <f>SUM(C316:C320)</f>
        <v>0</v>
      </c>
      <c r="D314" s="89">
        <f>SUM(D316:D320)</f>
        <v>0</v>
      </c>
      <c r="E314" s="89"/>
      <c r="F314" s="89">
        <f>SUM(F316:F320)</f>
        <v>0</v>
      </c>
      <c r="G314" s="89">
        <f>SUM(G316:G320)</f>
        <v>0</v>
      </c>
      <c r="H314" s="89">
        <f>SUM(H316:H320)</f>
        <v>0</v>
      </c>
      <c r="I314" s="89">
        <f>SUM(I316:I320)</f>
        <v>0</v>
      </c>
      <c r="J314" s="89"/>
      <c r="K314" s="89"/>
      <c r="L314" s="89">
        <f>SUM(L316:L320)</f>
        <v>0</v>
      </c>
      <c r="M314" s="89">
        <f>SUM(M316:M320)</f>
        <v>0</v>
      </c>
      <c r="N314" s="89">
        <f>SUM(N316:N320)</f>
        <v>0</v>
      </c>
      <c r="O314" s="89">
        <f>SUM(O316:O320)</f>
        <v>0</v>
      </c>
      <c r="P314" s="61"/>
      <c r="Q314" s="49">
        <f>SUM(Q316:Q320)</f>
        <v>0</v>
      </c>
    </row>
    <row r="315" spans="1:17" ht="12.75" hidden="1">
      <c r="A315" s="13" t="s">
        <v>38</v>
      </c>
      <c r="B315" s="13"/>
      <c r="C315" s="84"/>
      <c r="D315" s="84"/>
      <c r="E315" s="84"/>
      <c r="F315" s="84"/>
      <c r="G315" s="84"/>
      <c r="H315" s="84"/>
      <c r="I315" s="83"/>
      <c r="J315" s="84"/>
      <c r="K315" s="84"/>
      <c r="L315" s="83"/>
      <c r="M315" s="84"/>
      <c r="N315" s="84"/>
      <c r="O315" s="83"/>
      <c r="P315" s="55"/>
      <c r="Q315" s="53"/>
    </row>
    <row r="316" spans="1:17" ht="12.75" hidden="1">
      <c r="A316" s="15" t="s">
        <v>129</v>
      </c>
      <c r="B316" s="15"/>
      <c r="C316" s="84"/>
      <c r="D316" s="84"/>
      <c r="E316" s="84"/>
      <c r="F316" s="84">
        <f>C316+D316+E316</f>
        <v>0</v>
      </c>
      <c r="G316" s="84"/>
      <c r="H316" s="84"/>
      <c r="I316" s="84">
        <f>F316+G316+H316</f>
        <v>0</v>
      </c>
      <c r="J316" s="84"/>
      <c r="K316" s="84"/>
      <c r="L316" s="84">
        <f>I316+J316+K316</f>
        <v>0</v>
      </c>
      <c r="M316" s="84"/>
      <c r="N316" s="84"/>
      <c r="O316" s="84">
        <f>L316+M316+N316</f>
        <v>0</v>
      </c>
      <c r="P316" s="55"/>
      <c r="Q316" s="53">
        <f t="shared" si="91"/>
        <v>0</v>
      </c>
    </row>
    <row r="317" spans="1:17" ht="12.75" hidden="1">
      <c r="A317" s="15" t="s">
        <v>92</v>
      </c>
      <c r="B317" s="15"/>
      <c r="C317" s="84"/>
      <c r="D317" s="84"/>
      <c r="E317" s="84"/>
      <c r="F317" s="84">
        <f>C317+D317+E317</f>
        <v>0</v>
      </c>
      <c r="G317" s="84"/>
      <c r="H317" s="84"/>
      <c r="I317" s="84">
        <f>F317+G317+H317</f>
        <v>0</v>
      </c>
      <c r="J317" s="84"/>
      <c r="K317" s="84"/>
      <c r="L317" s="84">
        <f>I317+J317+K317</f>
        <v>0</v>
      </c>
      <c r="M317" s="84"/>
      <c r="N317" s="84"/>
      <c r="O317" s="84">
        <f>L317+M317+N317</f>
        <v>0</v>
      </c>
      <c r="P317" s="55"/>
      <c r="Q317" s="53">
        <f t="shared" si="91"/>
        <v>0</v>
      </c>
    </row>
    <row r="318" spans="1:17" ht="12.75" hidden="1">
      <c r="A318" s="32" t="s">
        <v>209</v>
      </c>
      <c r="B318" s="32"/>
      <c r="C318" s="84"/>
      <c r="D318" s="84"/>
      <c r="E318" s="84"/>
      <c r="F318" s="84">
        <f>C318+D318+E318</f>
        <v>0</v>
      </c>
      <c r="G318" s="84"/>
      <c r="H318" s="84"/>
      <c r="I318" s="84">
        <f>F318+G318+H318</f>
        <v>0</v>
      </c>
      <c r="J318" s="84"/>
      <c r="K318" s="84"/>
      <c r="L318" s="84">
        <f>I318+J318+K318</f>
        <v>0</v>
      </c>
      <c r="M318" s="84"/>
      <c r="N318" s="84"/>
      <c r="O318" s="84">
        <f>L318+M318+N318</f>
        <v>0</v>
      </c>
      <c r="P318" s="55"/>
      <c r="Q318" s="53">
        <f t="shared" si="91"/>
        <v>0</v>
      </c>
    </row>
    <row r="319" spans="1:17" ht="12.75" hidden="1">
      <c r="A319" s="15" t="s">
        <v>216</v>
      </c>
      <c r="B319" s="15"/>
      <c r="C319" s="84"/>
      <c r="D319" s="84"/>
      <c r="E319" s="84"/>
      <c r="F319" s="84">
        <f>C319+D319+E319</f>
        <v>0</v>
      </c>
      <c r="G319" s="84"/>
      <c r="H319" s="84"/>
      <c r="I319" s="84">
        <f>F319+G319+H319</f>
        <v>0</v>
      </c>
      <c r="J319" s="84"/>
      <c r="K319" s="84"/>
      <c r="L319" s="84">
        <f>I319+J319+K319</f>
        <v>0</v>
      </c>
      <c r="M319" s="84"/>
      <c r="N319" s="84"/>
      <c r="O319" s="84">
        <f>L319+M319+N319</f>
        <v>0</v>
      </c>
      <c r="P319" s="55"/>
      <c r="Q319" s="53">
        <f t="shared" si="91"/>
        <v>0</v>
      </c>
    </row>
    <row r="320" spans="1:17" ht="12.75" hidden="1">
      <c r="A320" s="22" t="s">
        <v>76</v>
      </c>
      <c r="B320" s="22"/>
      <c r="C320" s="88"/>
      <c r="D320" s="88"/>
      <c r="E320" s="88"/>
      <c r="F320" s="88">
        <f>C320+D320+E320</f>
        <v>0</v>
      </c>
      <c r="G320" s="88"/>
      <c r="H320" s="88"/>
      <c r="I320" s="88">
        <f>F320+G320+H320</f>
        <v>0</v>
      </c>
      <c r="J320" s="88"/>
      <c r="K320" s="92"/>
      <c r="L320" s="88">
        <f>I320+J320+K320</f>
        <v>0</v>
      </c>
      <c r="M320" s="88"/>
      <c r="N320" s="88"/>
      <c r="O320" s="88">
        <f>L320+M320+N320</f>
        <v>0</v>
      </c>
      <c r="P320" s="55"/>
      <c r="Q320" s="53">
        <f t="shared" si="91"/>
        <v>0</v>
      </c>
    </row>
    <row r="321" spans="1:17" ht="12.75">
      <c r="A321" s="8" t="s">
        <v>130</v>
      </c>
      <c r="B321" s="8"/>
      <c r="C321" s="83">
        <f aca="true" t="shared" si="96" ref="C321:O321">C322+C333</f>
        <v>705826</v>
      </c>
      <c r="D321" s="83">
        <f t="shared" si="96"/>
        <v>-300000</v>
      </c>
      <c r="E321" s="83">
        <f t="shared" si="96"/>
        <v>1500</v>
      </c>
      <c r="F321" s="83">
        <f t="shared" si="96"/>
        <v>407326</v>
      </c>
      <c r="G321" s="83">
        <f t="shared" si="96"/>
        <v>30139.7</v>
      </c>
      <c r="H321" s="83">
        <f t="shared" si="96"/>
        <v>0</v>
      </c>
      <c r="I321" s="83">
        <f t="shared" si="96"/>
        <v>437465.7</v>
      </c>
      <c r="J321" s="83">
        <f t="shared" si="96"/>
        <v>52039.200000000004</v>
      </c>
      <c r="K321" s="83">
        <f t="shared" si="96"/>
        <v>0</v>
      </c>
      <c r="L321" s="83">
        <f t="shared" si="96"/>
        <v>489504.89999999997</v>
      </c>
      <c r="M321" s="83">
        <f t="shared" si="96"/>
        <v>417.1</v>
      </c>
      <c r="N321" s="83">
        <f t="shared" si="96"/>
        <v>0</v>
      </c>
      <c r="O321" s="83">
        <f t="shared" si="96"/>
        <v>489922</v>
      </c>
      <c r="P321" s="56"/>
      <c r="Q321" s="38">
        <f>Q322+Q333</f>
        <v>484362.5</v>
      </c>
    </row>
    <row r="322" spans="1:17" ht="12.75">
      <c r="A322" s="17" t="s">
        <v>69</v>
      </c>
      <c r="B322" s="17"/>
      <c r="C322" s="87">
        <f aca="true" t="shared" si="97" ref="C322:I322">SUM(C324:C332)</f>
        <v>405826</v>
      </c>
      <c r="D322" s="87">
        <f t="shared" si="97"/>
        <v>0</v>
      </c>
      <c r="E322" s="87">
        <f t="shared" si="97"/>
        <v>1500</v>
      </c>
      <c r="F322" s="87">
        <f t="shared" si="97"/>
        <v>407326</v>
      </c>
      <c r="G322" s="87">
        <f t="shared" si="97"/>
        <v>30139.7</v>
      </c>
      <c r="H322" s="87">
        <f t="shared" si="97"/>
        <v>0</v>
      </c>
      <c r="I322" s="87">
        <f t="shared" si="97"/>
        <v>437465.7</v>
      </c>
      <c r="J322" s="87">
        <f aca="true" t="shared" si="98" ref="J322:O322">SUM(J324:J332)</f>
        <v>51364.4</v>
      </c>
      <c r="K322" s="87">
        <f t="shared" si="98"/>
        <v>0</v>
      </c>
      <c r="L322" s="87">
        <f t="shared" si="98"/>
        <v>488830.1</v>
      </c>
      <c r="M322" s="87">
        <f t="shared" si="98"/>
        <v>417.1</v>
      </c>
      <c r="N322" s="87">
        <f t="shared" si="98"/>
        <v>0</v>
      </c>
      <c r="O322" s="87">
        <f t="shared" si="98"/>
        <v>489247.2</v>
      </c>
      <c r="P322" s="60"/>
      <c r="Q322" s="39">
        <f>SUM(Q324:Q332)</f>
        <v>483687.7</v>
      </c>
    </row>
    <row r="323" spans="1:17" ht="12.75">
      <c r="A323" s="13" t="s">
        <v>38</v>
      </c>
      <c r="B323" s="13"/>
      <c r="C323" s="84"/>
      <c r="D323" s="84"/>
      <c r="E323" s="84"/>
      <c r="F323" s="83"/>
      <c r="G323" s="84"/>
      <c r="H323" s="84"/>
      <c r="I323" s="83"/>
      <c r="J323" s="84"/>
      <c r="K323" s="84"/>
      <c r="L323" s="83"/>
      <c r="M323" s="84"/>
      <c r="N323" s="84"/>
      <c r="O323" s="83"/>
      <c r="P323" s="55"/>
      <c r="Q323" s="53"/>
    </row>
    <row r="324" spans="1:17" ht="12.75">
      <c r="A324" s="10" t="s">
        <v>100</v>
      </c>
      <c r="B324" s="10"/>
      <c r="C324" s="84">
        <v>218826</v>
      </c>
      <c r="D324" s="84"/>
      <c r="E324" s="84"/>
      <c r="F324" s="84">
        <f aca="true" t="shared" si="99" ref="F324:F332">C324+D324+E324</f>
        <v>218826</v>
      </c>
      <c r="G324" s="84"/>
      <c r="H324" s="84"/>
      <c r="I324" s="84">
        <f aca="true" t="shared" si="100" ref="I324:I332">F324+G324+H324</f>
        <v>218826</v>
      </c>
      <c r="J324" s="84">
        <v>-532</v>
      </c>
      <c r="K324" s="84"/>
      <c r="L324" s="84">
        <f aca="true" t="shared" si="101" ref="L324:L332">I324+J324+K324</f>
        <v>218294</v>
      </c>
      <c r="M324" s="84"/>
      <c r="N324" s="84"/>
      <c r="O324" s="84">
        <f aca="true" t="shared" si="102" ref="O324:O332">L324+M324+N324</f>
        <v>218294</v>
      </c>
      <c r="P324" s="55"/>
      <c r="Q324" s="53">
        <f aca="true" t="shared" si="103" ref="Q324:Q332">O324+P324</f>
        <v>218294</v>
      </c>
    </row>
    <row r="325" spans="1:17" ht="12.75">
      <c r="A325" s="15" t="s">
        <v>86</v>
      </c>
      <c r="B325" s="15"/>
      <c r="C325" s="84">
        <v>176000</v>
      </c>
      <c r="D325" s="84"/>
      <c r="E325" s="84"/>
      <c r="F325" s="84">
        <f t="shared" si="99"/>
        <v>176000</v>
      </c>
      <c r="G325" s="84">
        <v>30000</v>
      </c>
      <c r="H325" s="84"/>
      <c r="I325" s="84">
        <f t="shared" si="100"/>
        <v>206000</v>
      </c>
      <c r="J325" s="84">
        <v>45000</v>
      </c>
      <c r="K325" s="84"/>
      <c r="L325" s="84">
        <f t="shared" si="101"/>
        <v>251000</v>
      </c>
      <c r="M325" s="84"/>
      <c r="N325" s="84"/>
      <c r="O325" s="84">
        <f t="shared" si="102"/>
        <v>251000</v>
      </c>
      <c r="P325" s="55"/>
      <c r="Q325" s="53">
        <f t="shared" si="103"/>
        <v>251000</v>
      </c>
    </row>
    <row r="326" spans="1:17" ht="12.75">
      <c r="A326" s="15" t="s">
        <v>72</v>
      </c>
      <c r="B326" s="15"/>
      <c r="C326" s="91">
        <v>11000</v>
      </c>
      <c r="D326" s="84"/>
      <c r="E326" s="84">
        <v>1500</v>
      </c>
      <c r="F326" s="84">
        <f t="shared" si="99"/>
        <v>12500</v>
      </c>
      <c r="G326" s="84"/>
      <c r="H326" s="84"/>
      <c r="I326" s="84">
        <f t="shared" si="100"/>
        <v>12500</v>
      </c>
      <c r="J326" s="84">
        <f>1095.1</f>
        <v>1095.1</v>
      </c>
      <c r="K326" s="84"/>
      <c r="L326" s="84">
        <f t="shared" si="101"/>
        <v>13595.1</v>
      </c>
      <c r="M326" s="84"/>
      <c r="N326" s="84"/>
      <c r="O326" s="84">
        <f t="shared" si="102"/>
        <v>13595.1</v>
      </c>
      <c r="P326" s="55"/>
      <c r="Q326" s="53">
        <f t="shared" si="103"/>
        <v>13595.1</v>
      </c>
    </row>
    <row r="327" spans="1:17" ht="12.75" hidden="1">
      <c r="A327" s="15" t="s">
        <v>194</v>
      </c>
      <c r="B327" s="15"/>
      <c r="C327" s="91"/>
      <c r="D327" s="84"/>
      <c r="E327" s="84"/>
      <c r="F327" s="84">
        <f t="shared" si="99"/>
        <v>0</v>
      </c>
      <c r="G327" s="84"/>
      <c r="H327" s="84"/>
      <c r="I327" s="84">
        <f t="shared" si="100"/>
        <v>0</v>
      </c>
      <c r="J327" s="84"/>
      <c r="K327" s="84"/>
      <c r="L327" s="84">
        <f t="shared" si="101"/>
        <v>0</v>
      </c>
      <c r="M327" s="84"/>
      <c r="N327" s="84"/>
      <c r="O327" s="84">
        <f t="shared" si="102"/>
        <v>0</v>
      </c>
      <c r="P327" s="55"/>
      <c r="Q327" s="53">
        <f t="shared" si="103"/>
        <v>0</v>
      </c>
    </row>
    <row r="328" spans="1:17" ht="12.75">
      <c r="A328" s="15" t="s">
        <v>358</v>
      </c>
      <c r="B328" s="107">
        <v>35018</v>
      </c>
      <c r="C328" s="91"/>
      <c r="D328" s="84"/>
      <c r="E328" s="84"/>
      <c r="F328" s="84"/>
      <c r="G328" s="84"/>
      <c r="H328" s="84"/>
      <c r="I328" s="84">
        <f t="shared" si="100"/>
        <v>0</v>
      </c>
      <c r="J328" s="84">
        <v>5529.5</v>
      </c>
      <c r="K328" s="84"/>
      <c r="L328" s="84">
        <f t="shared" si="101"/>
        <v>5529.5</v>
      </c>
      <c r="M328" s="84"/>
      <c r="N328" s="84"/>
      <c r="O328" s="84">
        <f t="shared" si="102"/>
        <v>5529.5</v>
      </c>
      <c r="P328" s="55"/>
      <c r="Q328" s="53"/>
    </row>
    <row r="329" spans="1:17" ht="12.75">
      <c r="A329" s="15" t="s">
        <v>131</v>
      </c>
      <c r="B329" s="107">
        <v>98335</v>
      </c>
      <c r="C329" s="84"/>
      <c r="D329" s="84"/>
      <c r="E329" s="84"/>
      <c r="F329" s="84">
        <f t="shared" si="99"/>
        <v>0</v>
      </c>
      <c r="G329" s="84">
        <v>139.7</v>
      </c>
      <c r="H329" s="84"/>
      <c r="I329" s="84">
        <f t="shared" si="100"/>
        <v>139.7</v>
      </c>
      <c r="J329" s="84"/>
      <c r="K329" s="84"/>
      <c r="L329" s="84">
        <f t="shared" si="101"/>
        <v>139.7</v>
      </c>
      <c r="M329" s="110">
        <v>239.2</v>
      </c>
      <c r="N329" s="84"/>
      <c r="O329" s="84">
        <f t="shared" si="102"/>
        <v>378.9</v>
      </c>
      <c r="P329" s="55"/>
      <c r="Q329" s="53">
        <f t="shared" si="103"/>
        <v>378.9</v>
      </c>
    </row>
    <row r="330" spans="1:17" ht="12.75">
      <c r="A330" s="15" t="s">
        <v>353</v>
      </c>
      <c r="B330" s="107">
        <v>35050</v>
      </c>
      <c r="C330" s="84"/>
      <c r="D330" s="84"/>
      <c r="E330" s="84"/>
      <c r="F330" s="84"/>
      <c r="G330" s="84"/>
      <c r="H330" s="84"/>
      <c r="I330" s="84">
        <f t="shared" si="100"/>
        <v>0</v>
      </c>
      <c r="J330" s="84">
        <v>30</v>
      </c>
      <c r="K330" s="84"/>
      <c r="L330" s="84">
        <f t="shared" si="101"/>
        <v>30</v>
      </c>
      <c r="M330" s="110"/>
      <c r="N330" s="84"/>
      <c r="O330" s="84">
        <f t="shared" si="102"/>
        <v>30</v>
      </c>
      <c r="P330" s="55"/>
      <c r="Q330" s="53"/>
    </row>
    <row r="331" spans="1:17" ht="12.75">
      <c r="A331" s="15" t="s">
        <v>382</v>
      </c>
      <c r="B331" s="107">
        <v>35063</v>
      </c>
      <c r="C331" s="84"/>
      <c r="D331" s="84"/>
      <c r="E331" s="84"/>
      <c r="F331" s="84">
        <f t="shared" si="99"/>
        <v>0</v>
      </c>
      <c r="G331" s="84"/>
      <c r="H331" s="84"/>
      <c r="I331" s="84">
        <f t="shared" si="100"/>
        <v>0</v>
      </c>
      <c r="J331" s="84"/>
      <c r="K331" s="84"/>
      <c r="L331" s="84">
        <f t="shared" si="101"/>
        <v>0</v>
      </c>
      <c r="M331" s="84">
        <v>100</v>
      </c>
      <c r="N331" s="84"/>
      <c r="O331" s="84">
        <f t="shared" si="102"/>
        <v>100</v>
      </c>
      <c r="P331" s="55"/>
      <c r="Q331" s="53">
        <f t="shared" si="103"/>
        <v>100</v>
      </c>
    </row>
    <row r="332" spans="1:17" ht="12.75">
      <c r="A332" s="15" t="s">
        <v>132</v>
      </c>
      <c r="B332" s="107">
        <v>98297</v>
      </c>
      <c r="C332" s="84"/>
      <c r="D332" s="84"/>
      <c r="E332" s="84"/>
      <c r="F332" s="84">
        <f t="shared" si="99"/>
        <v>0</v>
      </c>
      <c r="G332" s="84"/>
      <c r="H332" s="84"/>
      <c r="I332" s="84">
        <f t="shared" si="100"/>
        <v>0</v>
      </c>
      <c r="J332" s="84">
        <f>180.3+61.5</f>
        <v>241.8</v>
      </c>
      <c r="K332" s="84"/>
      <c r="L332" s="84">
        <f t="shared" si="101"/>
        <v>241.8</v>
      </c>
      <c r="M332" s="84">
        <v>77.9</v>
      </c>
      <c r="N332" s="84"/>
      <c r="O332" s="84">
        <f t="shared" si="102"/>
        <v>319.70000000000005</v>
      </c>
      <c r="P332" s="55"/>
      <c r="Q332" s="53">
        <f t="shared" si="103"/>
        <v>319.70000000000005</v>
      </c>
    </row>
    <row r="333" spans="1:17" ht="12.75">
      <c r="A333" s="17" t="s">
        <v>75</v>
      </c>
      <c r="B333" s="111"/>
      <c r="C333" s="87">
        <f aca="true" t="shared" si="104" ref="C333:O333">SUM(C335:C336)</f>
        <v>300000</v>
      </c>
      <c r="D333" s="87">
        <f t="shared" si="104"/>
        <v>-300000</v>
      </c>
      <c r="E333" s="87">
        <f t="shared" si="104"/>
        <v>0</v>
      </c>
      <c r="F333" s="87">
        <f t="shared" si="104"/>
        <v>0</v>
      </c>
      <c r="G333" s="87">
        <f t="shared" si="104"/>
        <v>0</v>
      </c>
      <c r="H333" s="87">
        <f t="shared" si="104"/>
        <v>0</v>
      </c>
      <c r="I333" s="87">
        <f t="shared" si="104"/>
        <v>0</v>
      </c>
      <c r="J333" s="87">
        <f t="shared" si="104"/>
        <v>674.8</v>
      </c>
      <c r="K333" s="87">
        <f t="shared" si="104"/>
        <v>0</v>
      </c>
      <c r="L333" s="87">
        <f t="shared" si="104"/>
        <v>674.8</v>
      </c>
      <c r="M333" s="87">
        <f t="shared" si="104"/>
        <v>0</v>
      </c>
      <c r="N333" s="87">
        <f t="shared" si="104"/>
        <v>0</v>
      </c>
      <c r="O333" s="87">
        <f t="shared" si="104"/>
        <v>674.8</v>
      </c>
      <c r="P333" s="60"/>
      <c r="Q333" s="39">
        <f>SUM(Q335:Q336)</f>
        <v>674.8</v>
      </c>
    </row>
    <row r="334" spans="1:17" ht="12.75">
      <c r="A334" s="13" t="s">
        <v>38</v>
      </c>
      <c r="B334" s="13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55"/>
      <c r="Q334" s="53"/>
    </row>
    <row r="335" spans="1:17" ht="12.75">
      <c r="A335" s="15" t="s">
        <v>266</v>
      </c>
      <c r="B335" s="15"/>
      <c r="C335" s="84">
        <v>300000</v>
      </c>
      <c r="D335" s="84">
        <v>-300000</v>
      </c>
      <c r="E335" s="84"/>
      <c r="F335" s="84">
        <f>C335+D335+E335</f>
        <v>0</v>
      </c>
      <c r="G335" s="84"/>
      <c r="H335" s="84"/>
      <c r="I335" s="84">
        <f>F335+G335+H335</f>
        <v>0</v>
      </c>
      <c r="J335" s="84"/>
      <c r="K335" s="84"/>
      <c r="L335" s="84">
        <f>I335+J335+K335</f>
        <v>0</v>
      </c>
      <c r="M335" s="84"/>
      <c r="N335" s="84"/>
      <c r="O335" s="84">
        <f>L335+M335+N335</f>
        <v>0</v>
      </c>
      <c r="P335" s="55"/>
      <c r="Q335" s="53">
        <f>O335+P335</f>
        <v>0</v>
      </c>
    </row>
    <row r="336" spans="1:17" ht="12.75">
      <c r="A336" s="14" t="s">
        <v>76</v>
      </c>
      <c r="B336" s="14"/>
      <c r="C336" s="88"/>
      <c r="D336" s="88"/>
      <c r="E336" s="88"/>
      <c r="F336" s="88">
        <f>C336+D336+E336</f>
        <v>0</v>
      </c>
      <c r="G336" s="88"/>
      <c r="H336" s="88"/>
      <c r="I336" s="88">
        <f>F336+G336+H336</f>
        <v>0</v>
      </c>
      <c r="J336" s="88">
        <f>674.8</f>
        <v>674.8</v>
      </c>
      <c r="K336" s="88"/>
      <c r="L336" s="88">
        <f>I336+J336+K336</f>
        <v>674.8</v>
      </c>
      <c r="M336" s="88"/>
      <c r="N336" s="88"/>
      <c r="O336" s="88">
        <f>L336+M336+N336</f>
        <v>674.8</v>
      </c>
      <c r="P336" s="68"/>
      <c r="Q336" s="69">
        <f>O336+P336</f>
        <v>674.8</v>
      </c>
    </row>
    <row r="337" spans="1:17" ht="12.75">
      <c r="A337" s="23" t="s">
        <v>133</v>
      </c>
      <c r="B337" s="23"/>
      <c r="C337" s="85">
        <f aca="true" t="shared" si="105" ref="C337:I337">C338+C349</f>
        <v>142965</v>
      </c>
      <c r="D337" s="85">
        <f t="shared" si="105"/>
        <v>0</v>
      </c>
      <c r="E337" s="85">
        <f t="shared" si="105"/>
        <v>28285.8</v>
      </c>
      <c r="F337" s="85">
        <f t="shared" si="105"/>
        <v>171250.8</v>
      </c>
      <c r="G337" s="85">
        <f t="shared" si="105"/>
        <v>-27874.8</v>
      </c>
      <c r="H337" s="85">
        <f t="shared" si="105"/>
        <v>0</v>
      </c>
      <c r="I337" s="85">
        <f t="shared" si="105"/>
        <v>143376</v>
      </c>
      <c r="J337" s="85">
        <f aca="true" t="shared" si="106" ref="J337:O337">J338+J349</f>
        <v>139</v>
      </c>
      <c r="K337" s="85">
        <f t="shared" si="106"/>
        <v>0</v>
      </c>
      <c r="L337" s="85">
        <f t="shared" si="106"/>
        <v>143515</v>
      </c>
      <c r="M337" s="85">
        <f t="shared" si="106"/>
        <v>793.2</v>
      </c>
      <c r="N337" s="85">
        <f t="shared" si="106"/>
        <v>0</v>
      </c>
      <c r="O337" s="85">
        <f t="shared" si="106"/>
        <v>144308.2</v>
      </c>
      <c r="P337" s="58"/>
      <c r="Q337" s="7">
        <f>Q338+Q349</f>
        <v>144308.2</v>
      </c>
    </row>
    <row r="338" spans="1:17" ht="12.75">
      <c r="A338" s="17" t="s">
        <v>69</v>
      </c>
      <c r="B338" s="17"/>
      <c r="C338" s="87">
        <f aca="true" t="shared" si="107" ref="C338:I338">SUM(C340:C348)</f>
        <v>142965</v>
      </c>
      <c r="D338" s="87">
        <f t="shared" si="107"/>
        <v>0</v>
      </c>
      <c r="E338" s="87">
        <f t="shared" si="107"/>
        <v>1791</v>
      </c>
      <c r="F338" s="87">
        <f t="shared" si="107"/>
        <v>144756</v>
      </c>
      <c r="G338" s="87">
        <f t="shared" si="107"/>
        <v>-1380</v>
      </c>
      <c r="H338" s="87">
        <f t="shared" si="107"/>
        <v>0</v>
      </c>
      <c r="I338" s="87">
        <f t="shared" si="107"/>
        <v>143376</v>
      </c>
      <c r="J338" s="87">
        <f aca="true" t="shared" si="108" ref="J338:O338">SUM(J340:J348)</f>
        <v>139</v>
      </c>
      <c r="K338" s="87">
        <f t="shared" si="108"/>
        <v>0</v>
      </c>
      <c r="L338" s="87">
        <f t="shared" si="108"/>
        <v>143515</v>
      </c>
      <c r="M338" s="87">
        <f t="shared" si="108"/>
        <v>793.2</v>
      </c>
      <c r="N338" s="87">
        <f t="shared" si="108"/>
        <v>0</v>
      </c>
      <c r="O338" s="87">
        <f t="shared" si="108"/>
        <v>144308.2</v>
      </c>
      <c r="P338" s="60"/>
      <c r="Q338" s="39">
        <f>SUM(Q340:Q348)</f>
        <v>144308.2</v>
      </c>
    </row>
    <row r="339" spans="1:17" ht="12.75">
      <c r="A339" s="13" t="s">
        <v>38</v>
      </c>
      <c r="B339" s="13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55"/>
      <c r="Q339" s="53"/>
    </row>
    <row r="340" spans="1:17" ht="12.75">
      <c r="A340" s="15" t="s">
        <v>100</v>
      </c>
      <c r="B340" s="15"/>
      <c r="C340" s="84">
        <v>123300</v>
      </c>
      <c r="D340" s="84"/>
      <c r="E340" s="84"/>
      <c r="F340" s="84">
        <f>C340+D340+E340</f>
        <v>123300</v>
      </c>
      <c r="G340" s="84"/>
      <c r="H340" s="84">
        <v>300</v>
      </c>
      <c r="I340" s="84">
        <f>F340+G340+H340</f>
        <v>123600</v>
      </c>
      <c r="J340" s="84"/>
      <c r="K340" s="84"/>
      <c r="L340" s="84">
        <f>I340+J340+K340</f>
        <v>123600</v>
      </c>
      <c r="M340" s="84">
        <f>440+72</f>
        <v>512</v>
      </c>
      <c r="N340" s="84"/>
      <c r="O340" s="84">
        <f>L340+M340+N340</f>
        <v>124112</v>
      </c>
      <c r="P340" s="55"/>
      <c r="Q340" s="53">
        <f aca="true" t="shared" si="109" ref="Q340:Q348">O340+P340</f>
        <v>124112</v>
      </c>
    </row>
    <row r="341" spans="1:17" ht="12.75">
      <c r="A341" s="15" t="s">
        <v>72</v>
      </c>
      <c r="B341" s="15"/>
      <c r="C341" s="84">
        <v>16550</v>
      </c>
      <c r="D341" s="84"/>
      <c r="E341" s="84"/>
      <c r="F341" s="84">
        <f aca="true" t="shared" si="110" ref="F341:F348">C341+D341+E341</f>
        <v>16550</v>
      </c>
      <c r="G341" s="84">
        <f>-37+250</f>
        <v>213</v>
      </c>
      <c r="H341" s="84">
        <f>-4168-670-300</f>
        <v>-5138</v>
      </c>
      <c r="I341" s="84">
        <f aca="true" t="shared" si="111" ref="I341:I348">F341+G341+H341</f>
        <v>11625</v>
      </c>
      <c r="J341" s="84">
        <v>300</v>
      </c>
      <c r="K341" s="84"/>
      <c r="L341" s="84">
        <f aca="true" t="shared" si="112" ref="L341:L348">I341+J341+K341</f>
        <v>11925</v>
      </c>
      <c r="M341" s="84">
        <f>-440-72+120.2</f>
        <v>-391.8</v>
      </c>
      <c r="N341" s="84"/>
      <c r="O341" s="84">
        <f aca="true" t="shared" si="113" ref="O341:O348">L341+M341+N341</f>
        <v>11533.2</v>
      </c>
      <c r="P341" s="55"/>
      <c r="Q341" s="53">
        <f t="shared" si="109"/>
        <v>11533.2</v>
      </c>
    </row>
    <row r="342" spans="1:17" ht="12.75">
      <c r="A342" s="15" t="s">
        <v>181</v>
      </c>
      <c r="B342" s="15"/>
      <c r="C342" s="84">
        <v>3115</v>
      </c>
      <c r="D342" s="84"/>
      <c r="E342" s="84"/>
      <c r="F342" s="84">
        <f t="shared" si="110"/>
        <v>3115</v>
      </c>
      <c r="G342" s="84">
        <v>37</v>
      </c>
      <c r="H342" s="84"/>
      <c r="I342" s="84">
        <f t="shared" si="111"/>
        <v>3152</v>
      </c>
      <c r="J342" s="84"/>
      <c r="K342" s="84"/>
      <c r="L342" s="84">
        <f t="shared" si="112"/>
        <v>3152</v>
      </c>
      <c r="M342" s="84"/>
      <c r="N342" s="84"/>
      <c r="O342" s="84">
        <f t="shared" si="113"/>
        <v>3152</v>
      </c>
      <c r="P342" s="55"/>
      <c r="Q342" s="53">
        <f t="shared" si="109"/>
        <v>3152</v>
      </c>
    </row>
    <row r="343" spans="1:17" ht="12.75">
      <c r="A343" s="15" t="s">
        <v>87</v>
      </c>
      <c r="B343" s="15"/>
      <c r="C343" s="84"/>
      <c r="D343" s="84"/>
      <c r="E343" s="84"/>
      <c r="F343" s="84">
        <f t="shared" si="110"/>
        <v>0</v>
      </c>
      <c r="G343" s="84"/>
      <c r="H343" s="84">
        <f>4168+670</f>
        <v>4838</v>
      </c>
      <c r="I343" s="84">
        <f t="shared" si="111"/>
        <v>4838</v>
      </c>
      <c r="J343" s="84"/>
      <c r="K343" s="84"/>
      <c r="L343" s="84">
        <f t="shared" si="112"/>
        <v>4838</v>
      </c>
      <c r="M343" s="84"/>
      <c r="N343" s="84"/>
      <c r="O343" s="84">
        <f t="shared" si="113"/>
        <v>4838</v>
      </c>
      <c r="P343" s="55"/>
      <c r="Q343" s="53">
        <f t="shared" si="109"/>
        <v>4838</v>
      </c>
    </row>
    <row r="344" spans="1:17" ht="12.75">
      <c r="A344" s="15" t="s">
        <v>134</v>
      </c>
      <c r="B344" s="107">
        <v>34070</v>
      </c>
      <c r="C344" s="84"/>
      <c r="D344" s="84"/>
      <c r="E344" s="84"/>
      <c r="F344" s="84">
        <f t="shared" si="110"/>
        <v>0</v>
      </c>
      <c r="G344" s="84"/>
      <c r="H344" s="84"/>
      <c r="I344" s="84">
        <f t="shared" si="111"/>
        <v>0</v>
      </c>
      <c r="J344" s="84"/>
      <c r="K344" s="84"/>
      <c r="L344" s="84">
        <f t="shared" si="112"/>
        <v>0</v>
      </c>
      <c r="M344" s="84">
        <v>325</v>
      </c>
      <c r="N344" s="84"/>
      <c r="O344" s="84">
        <f t="shared" si="113"/>
        <v>325</v>
      </c>
      <c r="P344" s="55"/>
      <c r="Q344" s="53">
        <f t="shared" si="109"/>
        <v>325</v>
      </c>
    </row>
    <row r="345" spans="1:17" ht="12.75">
      <c r="A345" s="22" t="s">
        <v>135</v>
      </c>
      <c r="B345" s="112">
        <v>34053</v>
      </c>
      <c r="C345" s="88"/>
      <c r="D345" s="88"/>
      <c r="E345" s="88"/>
      <c r="F345" s="88">
        <f t="shared" si="110"/>
        <v>0</v>
      </c>
      <c r="G345" s="88"/>
      <c r="H345" s="88"/>
      <c r="I345" s="88">
        <f t="shared" si="111"/>
        <v>0</v>
      </c>
      <c r="J345" s="88"/>
      <c r="K345" s="88"/>
      <c r="L345" s="88">
        <f t="shared" si="112"/>
        <v>0</v>
      </c>
      <c r="M345" s="88">
        <v>348</v>
      </c>
      <c r="N345" s="88"/>
      <c r="O345" s="88">
        <f t="shared" si="113"/>
        <v>348</v>
      </c>
      <c r="P345" s="55"/>
      <c r="Q345" s="53">
        <f t="shared" si="109"/>
        <v>348</v>
      </c>
    </row>
    <row r="346" spans="1:17" ht="12.75" hidden="1">
      <c r="A346" s="15" t="s">
        <v>216</v>
      </c>
      <c r="B346" s="15"/>
      <c r="C346" s="84"/>
      <c r="D346" s="84"/>
      <c r="E346" s="84"/>
      <c r="F346" s="84">
        <f t="shared" si="110"/>
        <v>0</v>
      </c>
      <c r="G346" s="84"/>
      <c r="H346" s="84"/>
      <c r="I346" s="84">
        <f t="shared" si="111"/>
        <v>0</v>
      </c>
      <c r="J346" s="84"/>
      <c r="K346" s="84"/>
      <c r="L346" s="84">
        <f t="shared" si="112"/>
        <v>0</v>
      </c>
      <c r="M346" s="84"/>
      <c r="N346" s="84"/>
      <c r="O346" s="84">
        <f t="shared" si="113"/>
        <v>0</v>
      </c>
      <c r="P346" s="55"/>
      <c r="Q346" s="53">
        <f t="shared" si="109"/>
        <v>0</v>
      </c>
    </row>
    <row r="347" spans="1:17" ht="12.75" hidden="1">
      <c r="A347" s="15" t="s">
        <v>104</v>
      </c>
      <c r="B347" s="15"/>
      <c r="C347" s="84"/>
      <c r="D347" s="84"/>
      <c r="E347" s="84"/>
      <c r="F347" s="84">
        <f t="shared" si="110"/>
        <v>0</v>
      </c>
      <c r="G347" s="84"/>
      <c r="H347" s="84"/>
      <c r="I347" s="84">
        <f t="shared" si="111"/>
        <v>0</v>
      </c>
      <c r="J347" s="84"/>
      <c r="K347" s="84"/>
      <c r="L347" s="84">
        <f t="shared" si="112"/>
        <v>0</v>
      </c>
      <c r="M347" s="84"/>
      <c r="N347" s="84"/>
      <c r="O347" s="84">
        <f t="shared" si="113"/>
        <v>0</v>
      </c>
      <c r="P347" s="55"/>
      <c r="Q347" s="53">
        <f t="shared" si="109"/>
        <v>0</v>
      </c>
    </row>
    <row r="348" spans="1:17" ht="12.75" hidden="1">
      <c r="A348" s="22" t="s">
        <v>299</v>
      </c>
      <c r="B348" s="112">
        <v>33037</v>
      </c>
      <c r="C348" s="88"/>
      <c r="D348" s="88"/>
      <c r="E348" s="88">
        <v>1791</v>
      </c>
      <c r="F348" s="88">
        <f t="shared" si="110"/>
        <v>1791</v>
      </c>
      <c r="G348" s="88">
        <v>-1630</v>
      </c>
      <c r="H348" s="88"/>
      <c r="I348" s="88">
        <f t="shared" si="111"/>
        <v>161</v>
      </c>
      <c r="J348" s="88">
        <v>-161</v>
      </c>
      <c r="K348" s="88"/>
      <c r="L348" s="88">
        <f t="shared" si="112"/>
        <v>0</v>
      </c>
      <c r="M348" s="88"/>
      <c r="N348" s="88"/>
      <c r="O348" s="88">
        <f t="shared" si="113"/>
        <v>0</v>
      </c>
      <c r="P348" s="55"/>
      <c r="Q348" s="53">
        <f t="shared" si="109"/>
        <v>0</v>
      </c>
    </row>
    <row r="349" spans="1:17" ht="12.75" hidden="1">
      <c r="A349" s="17" t="s">
        <v>75</v>
      </c>
      <c r="B349" s="17"/>
      <c r="C349" s="87">
        <f aca="true" t="shared" si="114" ref="C349:O349">SUM(C351:C355)</f>
        <v>0</v>
      </c>
      <c r="D349" s="87">
        <f t="shared" si="114"/>
        <v>0</v>
      </c>
      <c r="E349" s="87">
        <f t="shared" si="114"/>
        <v>26494.8</v>
      </c>
      <c r="F349" s="87">
        <f t="shared" si="114"/>
        <v>26494.8</v>
      </c>
      <c r="G349" s="87">
        <f t="shared" si="114"/>
        <v>-26494.8</v>
      </c>
      <c r="H349" s="87">
        <f t="shared" si="114"/>
        <v>0</v>
      </c>
      <c r="I349" s="87">
        <f t="shared" si="114"/>
        <v>0</v>
      </c>
      <c r="J349" s="87">
        <f t="shared" si="114"/>
        <v>0</v>
      </c>
      <c r="K349" s="87">
        <f t="shared" si="114"/>
        <v>0</v>
      </c>
      <c r="L349" s="87">
        <f t="shared" si="114"/>
        <v>0</v>
      </c>
      <c r="M349" s="87">
        <f t="shared" si="114"/>
        <v>0</v>
      </c>
      <c r="N349" s="87">
        <f t="shared" si="114"/>
        <v>0</v>
      </c>
      <c r="O349" s="87">
        <f t="shared" si="114"/>
        <v>0</v>
      </c>
      <c r="P349" s="60"/>
      <c r="Q349" s="39">
        <f>SUM(Q351:Q355)</f>
        <v>0</v>
      </c>
    </row>
    <row r="350" spans="1:17" ht="12.75" hidden="1">
      <c r="A350" s="13" t="s">
        <v>38</v>
      </c>
      <c r="B350" s="13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55"/>
      <c r="Q350" s="53"/>
    </row>
    <row r="351" spans="1:17" ht="12.75" hidden="1">
      <c r="A351" s="15" t="s">
        <v>299</v>
      </c>
      <c r="B351" s="107">
        <v>33939</v>
      </c>
      <c r="C351" s="84"/>
      <c r="D351" s="84"/>
      <c r="E351" s="84">
        <v>23144.8</v>
      </c>
      <c r="F351" s="84">
        <f>C351+D351+E351</f>
        <v>23144.8</v>
      </c>
      <c r="G351" s="84">
        <v>-23144.8</v>
      </c>
      <c r="H351" s="84"/>
      <c r="I351" s="84">
        <f>F351+G351+H351</f>
        <v>0</v>
      </c>
      <c r="J351" s="84"/>
      <c r="K351" s="84"/>
      <c r="L351" s="84">
        <f>I351+J351+K351</f>
        <v>0</v>
      </c>
      <c r="M351" s="84"/>
      <c r="N351" s="84"/>
      <c r="O351" s="84">
        <f>L351+M351+N351</f>
        <v>0</v>
      </c>
      <c r="P351" s="55"/>
      <c r="Q351" s="53">
        <f>O351+P351</f>
        <v>0</v>
      </c>
    </row>
    <row r="352" spans="1:17" ht="12.75" hidden="1">
      <c r="A352" s="15" t="s">
        <v>216</v>
      </c>
      <c r="B352" s="15"/>
      <c r="C352" s="84"/>
      <c r="D352" s="84"/>
      <c r="E352" s="84"/>
      <c r="F352" s="84">
        <f>C352+D352+E352</f>
        <v>0</v>
      </c>
      <c r="G352" s="84"/>
      <c r="H352" s="84"/>
      <c r="I352" s="84">
        <f>F352+G352+H352</f>
        <v>0</v>
      </c>
      <c r="J352" s="84"/>
      <c r="K352" s="84"/>
      <c r="L352" s="84">
        <f>I352+J352+K352</f>
        <v>0</v>
      </c>
      <c r="M352" s="84"/>
      <c r="N352" s="84"/>
      <c r="O352" s="84">
        <f>L352+M352+N352</f>
        <v>0</v>
      </c>
      <c r="P352" s="55"/>
      <c r="Q352" s="53">
        <f>O352+P352</f>
        <v>0</v>
      </c>
    </row>
    <row r="353" spans="1:17" ht="12.75" hidden="1">
      <c r="A353" s="32" t="s">
        <v>92</v>
      </c>
      <c r="B353" s="32"/>
      <c r="C353" s="84"/>
      <c r="D353" s="84"/>
      <c r="E353" s="84"/>
      <c r="F353" s="84">
        <f>C353+D353+E353</f>
        <v>0</v>
      </c>
      <c r="G353" s="84"/>
      <c r="H353" s="84"/>
      <c r="I353" s="84">
        <f>F353+G353+H353</f>
        <v>0</v>
      </c>
      <c r="J353" s="84"/>
      <c r="K353" s="84"/>
      <c r="L353" s="84">
        <f>I353+J353+K353</f>
        <v>0</v>
      </c>
      <c r="M353" s="84"/>
      <c r="N353" s="84"/>
      <c r="O353" s="84">
        <f>L353+M353+N353</f>
        <v>0</v>
      </c>
      <c r="P353" s="55"/>
      <c r="Q353" s="53">
        <f>O353+P353</f>
        <v>0</v>
      </c>
    </row>
    <row r="354" spans="1:17" ht="12.75" hidden="1">
      <c r="A354" s="32" t="s">
        <v>76</v>
      </c>
      <c r="B354" s="32"/>
      <c r="C354" s="84"/>
      <c r="D354" s="84"/>
      <c r="E354" s="84"/>
      <c r="F354" s="84">
        <f>C354+D354+E354</f>
        <v>0</v>
      </c>
      <c r="G354" s="84"/>
      <c r="H354" s="84"/>
      <c r="I354" s="84">
        <f>F354+G354+H354</f>
        <v>0</v>
      </c>
      <c r="J354" s="84"/>
      <c r="K354" s="84"/>
      <c r="L354" s="84">
        <f>I354+J354+K354</f>
        <v>0</v>
      </c>
      <c r="M354" s="84"/>
      <c r="N354" s="84"/>
      <c r="O354" s="84">
        <f>L354+M354+N354</f>
        <v>0</v>
      </c>
      <c r="P354" s="55"/>
      <c r="Q354" s="53">
        <f>O354+P354</f>
        <v>0</v>
      </c>
    </row>
    <row r="355" spans="1:17" ht="12.75" hidden="1">
      <c r="A355" s="22" t="s">
        <v>104</v>
      </c>
      <c r="B355" s="22"/>
      <c r="C355" s="88"/>
      <c r="D355" s="88"/>
      <c r="E355" s="88">
        <v>3350</v>
      </c>
      <c r="F355" s="88">
        <f>C355+D355+E355</f>
        <v>3350</v>
      </c>
      <c r="G355" s="88">
        <f>-1000-2350</f>
        <v>-3350</v>
      </c>
      <c r="H355" s="88"/>
      <c r="I355" s="88">
        <f>F355+G355+H355</f>
        <v>0</v>
      </c>
      <c r="J355" s="88"/>
      <c r="K355" s="88"/>
      <c r="L355" s="88">
        <f>I355+J355+K355</f>
        <v>0</v>
      </c>
      <c r="M355" s="92"/>
      <c r="N355" s="88"/>
      <c r="O355" s="88">
        <f>L355+M355+N355</f>
        <v>0</v>
      </c>
      <c r="P355" s="68"/>
      <c r="Q355" s="69">
        <f>O355+P355</f>
        <v>0</v>
      </c>
    </row>
    <row r="356" spans="1:17" ht="12.75">
      <c r="A356" s="23" t="s">
        <v>261</v>
      </c>
      <c r="B356" s="23"/>
      <c r="C356" s="83">
        <f aca="true" t="shared" si="115" ref="C356:I356">C357+C380</f>
        <v>149420.3</v>
      </c>
      <c r="D356" s="83">
        <f t="shared" si="115"/>
        <v>354190</v>
      </c>
      <c r="E356" s="83">
        <f t="shared" si="115"/>
        <v>322879.7</v>
      </c>
      <c r="F356" s="83">
        <f t="shared" si="115"/>
        <v>826490</v>
      </c>
      <c r="G356" s="83">
        <f t="shared" si="115"/>
        <v>143011.69999999998</v>
      </c>
      <c r="H356" s="83">
        <f t="shared" si="115"/>
        <v>0</v>
      </c>
      <c r="I356" s="83">
        <f t="shared" si="115"/>
        <v>969501.7</v>
      </c>
      <c r="J356" s="83">
        <f aca="true" t="shared" si="116" ref="J356:O356">J357+J380</f>
        <v>46437.6</v>
      </c>
      <c r="K356" s="83">
        <f t="shared" si="116"/>
        <v>1144.3</v>
      </c>
      <c r="L356" s="83">
        <f t="shared" si="116"/>
        <v>1017083.6</v>
      </c>
      <c r="M356" s="83">
        <f t="shared" si="116"/>
        <v>71858.9</v>
      </c>
      <c r="N356" s="83">
        <f t="shared" si="116"/>
        <v>0</v>
      </c>
      <c r="O356" s="83">
        <f t="shared" si="116"/>
        <v>1088942.5</v>
      </c>
      <c r="P356" s="55"/>
      <c r="Q356" s="53"/>
    </row>
    <row r="357" spans="1:17" ht="12.75">
      <c r="A357" s="17" t="s">
        <v>69</v>
      </c>
      <c r="B357" s="17"/>
      <c r="C357" s="87">
        <f aca="true" t="shared" si="117" ref="C357:I357">SUM(C359:C371)</f>
        <v>32100</v>
      </c>
      <c r="D357" s="87">
        <f t="shared" si="117"/>
        <v>9190</v>
      </c>
      <c r="E357" s="87">
        <f t="shared" si="117"/>
        <v>4940.8</v>
      </c>
      <c r="F357" s="87">
        <f t="shared" si="117"/>
        <v>46230.8</v>
      </c>
      <c r="G357" s="87">
        <f t="shared" si="117"/>
        <v>8463.5</v>
      </c>
      <c r="H357" s="87">
        <f t="shared" si="117"/>
        <v>2500</v>
      </c>
      <c r="I357" s="87">
        <f t="shared" si="117"/>
        <v>57194.3</v>
      </c>
      <c r="J357" s="87">
        <f aca="true" t="shared" si="118" ref="J357:O357">SUM(J359:J371)</f>
        <v>6004</v>
      </c>
      <c r="K357" s="87">
        <f t="shared" si="118"/>
        <v>0</v>
      </c>
      <c r="L357" s="87">
        <f t="shared" si="118"/>
        <v>63198.3</v>
      </c>
      <c r="M357" s="87">
        <f t="shared" si="118"/>
        <v>-2050</v>
      </c>
      <c r="N357" s="87">
        <f t="shared" si="118"/>
        <v>0</v>
      </c>
      <c r="O357" s="87">
        <f t="shared" si="118"/>
        <v>61148.299999999996</v>
      </c>
      <c r="P357" s="55"/>
      <c r="Q357" s="53"/>
    </row>
    <row r="358" spans="1:17" ht="12.75">
      <c r="A358" s="13" t="s">
        <v>38</v>
      </c>
      <c r="B358" s="13"/>
      <c r="C358" s="87"/>
      <c r="D358" s="87"/>
      <c r="E358" s="87"/>
      <c r="F358" s="87"/>
      <c r="G358" s="84"/>
      <c r="H358" s="84"/>
      <c r="I358" s="84"/>
      <c r="J358" s="84"/>
      <c r="K358" s="84"/>
      <c r="L358" s="84"/>
      <c r="M358" s="91"/>
      <c r="N358" s="84"/>
      <c r="O358" s="84"/>
      <c r="P358" s="55"/>
      <c r="Q358" s="53"/>
    </row>
    <row r="359" spans="1:17" ht="12.75">
      <c r="A359" s="15" t="s">
        <v>72</v>
      </c>
      <c r="B359" s="15"/>
      <c r="C359" s="84"/>
      <c r="D359" s="84">
        <v>600</v>
      </c>
      <c r="E359" s="84"/>
      <c r="F359" s="84">
        <f aca="true" t="shared" si="119" ref="F359:F379">C359+D359+E359</f>
        <v>600</v>
      </c>
      <c r="G359" s="84">
        <f>1700+835.8</f>
        <v>2535.8</v>
      </c>
      <c r="H359" s="84"/>
      <c r="I359" s="84">
        <f>F359+G359+H359</f>
        <v>3135.8</v>
      </c>
      <c r="J359" s="84">
        <f>785.5-497</f>
        <v>288.5</v>
      </c>
      <c r="K359" s="84"/>
      <c r="L359" s="84">
        <f>I359+J359+K359</f>
        <v>3424.3</v>
      </c>
      <c r="M359" s="91">
        <f>559.5-25.4</f>
        <v>534.1</v>
      </c>
      <c r="N359" s="84"/>
      <c r="O359" s="84">
        <f>L359+M359+N359</f>
        <v>3958.4</v>
      </c>
      <c r="P359" s="55"/>
      <c r="Q359" s="53"/>
    </row>
    <row r="360" spans="1:17" ht="12.75">
      <c r="A360" s="15" t="s">
        <v>356</v>
      </c>
      <c r="B360" s="15"/>
      <c r="C360" s="84"/>
      <c r="D360" s="84"/>
      <c r="E360" s="84"/>
      <c r="F360" s="84">
        <f t="shared" si="119"/>
        <v>0</v>
      </c>
      <c r="G360" s="84">
        <v>3500</v>
      </c>
      <c r="H360" s="84"/>
      <c r="I360" s="84">
        <f>F360+G360+H360</f>
        <v>3500</v>
      </c>
      <c r="J360" s="84"/>
      <c r="K360" s="84"/>
      <c r="L360" s="84">
        <f aca="true" t="shared" si="120" ref="L360:L379">I360+J360+K360</f>
        <v>3500</v>
      </c>
      <c r="M360" s="91"/>
      <c r="N360" s="84"/>
      <c r="O360" s="84">
        <f aca="true" t="shared" si="121" ref="O360:O379">L360+M360+N360</f>
        <v>3500</v>
      </c>
      <c r="P360" s="55"/>
      <c r="Q360" s="53"/>
    </row>
    <row r="361" spans="1:17" ht="12.75">
      <c r="A361" s="15" t="s">
        <v>110</v>
      </c>
      <c r="B361" s="15"/>
      <c r="C361" s="84"/>
      <c r="D361" s="84">
        <v>1067</v>
      </c>
      <c r="E361" s="84"/>
      <c r="F361" s="84">
        <f t="shared" si="119"/>
        <v>1067</v>
      </c>
      <c r="G361" s="84"/>
      <c r="H361" s="84"/>
      <c r="I361" s="84">
        <f aca="true" t="shared" si="122" ref="I361:I379">F361+G361+H361</f>
        <v>1067</v>
      </c>
      <c r="J361" s="84"/>
      <c r="K361" s="84"/>
      <c r="L361" s="84">
        <f t="shared" si="120"/>
        <v>1067</v>
      </c>
      <c r="M361" s="91"/>
      <c r="N361" s="84"/>
      <c r="O361" s="84">
        <f t="shared" si="121"/>
        <v>1067</v>
      </c>
      <c r="P361" s="55"/>
      <c r="Q361" s="53"/>
    </row>
    <row r="362" spans="1:17" ht="12.75">
      <c r="A362" s="11" t="s">
        <v>193</v>
      </c>
      <c r="B362" s="11"/>
      <c r="C362" s="84"/>
      <c r="D362" s="84">
        <v>5523</v>
      </c>
      <c r="E362" s="84"/>
      <c r="F362" s="84">
        <f t="shared" si="119"/>
        <v>5523</v>
      </c>
      <c r="G362" s="84"/>
      <c r="H362" s="84"/>
      <c r="I362" s="84">
        <f t="shared" si="122"/>
        <v>5523</v>
      </c>
      <c r="J362" s="84"/>
      <c r="K362" s="84"/>
      <c r="L362" s="84">
        <f t="shared" si="120"/>
        <v>5523</v>
      </c>
      <c r="M362" s="91"/>
      <c r="N362" s="84"/>
      <c r="O362" s="84">
        <f t="shared" si="121"/>
        <v>5523</v>
      </c>
      <c r="P362" s="55"/>
      <c r="Q362" s="53"/>
    </row>
    <row r="363" spans="1:17" ht="12.75">
      <c r="A363" s="15" t="s">
        <v>267</v>
      </c>
      <c r="B363" s="15"/>
      <c r="C363" s="84"/>
      <c r="D363" s="84">
        <v>2000</v>
      </c>
      <c r="E363" s="84"/>
      <c r="F363" s="84">
        <f t="shared" si="119"/>
        <v>2000</v>
      </c>
      <c r="G363" s="84">
        <f>2000-1700</f>
        <v>300</v>
      </c>
      <c r="H363" s="84"/>
      <c r="I363" s="84">
        <f t="shared" si="122"/>
        <v>2300</v>
      </c>
      <c r="J363" s="84">
        <f>797.3+497+844.8</f>
        <v>2139.1</v>
      </c>
      <c r="K363" s="84"/>
      <c r="L363" s="84">
        <f t="shared" si="120"/>
        <v>4439.1</v>
      </c>
      <c r="M363" s="91"/>
      <c r="N363" s="84"/>
      <c r="O363" s="84">
        <f t="shared" si="121"/>
        <v>4439.1</v>
      </c>
      <c r="P363" s="55"/>
      <c r="Q363" s="53"/>
    </row>
    <row r="364" spans="1:17" ht="12.75">
      <c r="A364" s="15" t="s">
        <v>280</v>
      </c>
      <c r="B364" s="15"/>
      <c r="C364" s="84"/>
      <c r="D364" s="84"/>
      <c r="E364" s="84">
        <v>2000</v>
      </c>
      <c r="F364" s="84">
        <f t="shared" si="119"/>
        <v>2000</v>
      </c>
      <c r="G364" s="84"/>
      <c r="H364" s="84"/>
      <c r="I364" s="84">
        <f t="shared" si="122"/>
        <v>2000</v>
      </c>
      <c r="J364" s="84"/>
      <c r="K364" s="84"/>
      <c r="L364" s="84">
        <f t="shared" si="120"/>
        <v>2000</v>
      </c>
      <c r="M364" s="91"/>
      <c r="N364" s="84"/>
      <c r="O364" s="84">
        <f t="shared" si="121"/>
        <v>2000</v>
      </c>
      <c r="P364" s="55"/>
      <c r="Q364" s="53"/>
    </row>
    <row r="365" spans="1:17" ht="12.75">
      <c r="A365" s="22" t="s">
        <v>299</v>
      </c>
      <c r="B365" s="112">
        <v>33037</v>
      </c>
      <c r="C365" s="88"/>
      <c r="D365" s="88"/>
      <c r="E365" s="88"/>
      <c r="F365" s="88">
        <f t="shared" si="119"/>
        <v>0</v>
      </c>
      <c r="G365" s="88">
        <v>1630</v>
      </c>
      <c r="H365" s="88"/>
      <c r="I365" s="88">
        <f t="shared" si="122"/>
        <v>1630</v>
      </c>
      <c r="J365" s="88">
        <f>161</f>
        <v>161</v>
      </c>
      <c r="K365" s="88"/>
      <c r="L365" s="88">
        <f t="shared" si="120"/>
        <v>1791</v>
      </c>
      <c r="M365" s="92"/>
      <c r="N365" s="88"/>
      <c r="O365" s="88">
        <f t="shared" si="121"/>
        <v>1791</v>
      </c>
      <c r="P365" s="55"/>
      <c r="Q365" s="53"/>
    </row>
    <row r="366" spans="1:17" ht="12.75">
      <c r="A366" s="15" t="s">
        <v>375</v>
      </c>
      <c r="B366" s="107"/>
      <c r="C366" s="84"/>
      <c r="D366" s="84"/>
      <c r="E366" s="84"/>
      <c r="F366" s="84"/>
      <c r="G366" s="84"/>
      <c r="H366" s="84"/>
      <c r="I366" s="84"/>
      <c r="J366" s="84">
        <v>746.6</v>
      </c>
      <c r="K366" s="84"/>
      <c r="L366" s="84">
        <f t="shared" si="120"/>
        <v>746.6</v>
      </c>
      <c r="M366" s="91"/>
      <c r="N366" s="84"/>
      <c r="O366" s="84">
        <f t="shared" si="121"/>
        <v>746.6</v>
      </c>
      <c r="P366" s="55"/>
      <c r="Q366" s="53"/>
    </row>
    <row r="367" spans="1:17" ht="12.75">
      <c r="A367" s="15" t="s">
        <v>369</v>
      </c>
      <c r="B367" s="107">
        <v>2500</v>
      </c>
      <c r="C367" s="84"/>
      <c r="D367" s="84"/>
      <c r="E367" s="84"/>
      <c r="F367" s="84"/>
      <c r="G367" s="84"/>
      <c r="H367" s="84"/>
      <c r="I367" s="84"/>
      <c r="J367" s="84"/>
      <c r="K367" s="84"/>
      <c r="L367" s="84">
        <f t="shared" si="120"/>
        <v>0</v>
      </c>
      <c r="M367" s="91">
        <f>305.9+6.1</f>
        <v>312</v>
      </c>
      <c r="N367" s="84"/>
      <c r="O367" s="84">
        <f t="shared" si="121"/>
        <v>312</v>
      </c>
      <c r="P367" s="55"/>
      <c r="Q367" s="53"/>
    </row>
    <row r="368" spans="1:17" ht="12.75">
      <c r="A368" s="15" t="s">
        <v>367</v>
      </c>
      <c r="B368" s="107" t="s">
        <v>377</v>
      </c>
      <c r="C368" s="84"/>
      <c r="D368" s="84"/>
      <c r="E368" s="84"/>
      <c r="F368" s="84"/>
      <c r="G368" s="84"/>
      <c r="H368" s="84"/>
      <c r="I368" s="84"/>
      <c r="J368" s="84"/>
      <c r="K368" s="84"/>
      <c r="L368" s="84">
        <f t="shared" si="120"/>
        <v>0</v>
      </c>
      <c r="M368" s="91">
        <v>291.3</v>
      </c>
      <c r="N368" s="84"/>
      <c r="O368" s="84">
        <f t="shared" si="121"/>
        <v>291.3</v>
      </c>
      <c r="P368" s="55"/>
      <c r="Q368" s="53"/>
    </row>
    <row r="369" spans="1:17" ht="12.75">
      <c r="A369" s="11" t="s">
        <v>208</v>
      </c>
      <c r="B369" s="11"/>
      <c r="C369" s="84"/>
      <c r="D369" s="84"/>
      <c r="E369" s="84"/>
      <c r="F369" s="84">
        <f t="shared" si="119"/>
        <v>0</v>
      </c>
      <c r="G369" s="84">
        <v>1275.7</v>
      </c>
      <c r="H369" s="84"/>
      <c r="I369" s="84">
        <f t="shared" si="122"/>
        <v>1275.7</v>
      </c>
      <c r="J369" s="84">
        <f>-273.2</f>
        <v>-273.2</v>
      </c>
      <c r="K369" s="84"/>
      <c r="L369" s="84">
        <f t="shared" si="120"/>
        <v>1002.5</v>
      </c>
      <c r="M369" s="91"/>
      <c r="N369" s="84"/>
      <c r="O369" s="84">
        <f t="shared" si="121"/>
        <v>1002.5</v>
      </c>
      <c r="P369" s="55"/>
      <c r="Q369" s="53"/>
    </row>
    <row r="370" spans="1:17" ht="12.75">
      <c r="A370" s="11" t="s">
        <v>342</v>
      </c>
      <c r="B370" s="11"/>
      <c r="C370" s="84"/>
      <c r="D370" s="84"/>
      <c r="E370" s="84"/>
      <c r="F370" s="84"/>
      <c r="G370" s="84"/>
      <c r="H370" s="84"/>
      <c r="I370" s="84">
        <f t="shared" si="122"/>
        <v>0</v>
      </c>
      <c r="J370" s="84">
        <v>2127.8</v>
      </c>
      <c r="K370" s="84"/>
      <c r="L370" s="84">
        <f t="shared" si="120"/>
        <v>2127.8</v>
      </c>
      <c r="M370" s="91"/>
      <c r="N370" s="84"/>
      <c r="O370" s="84">
        <f t="shared" si="121"/>
        <v>2127.8</v>
      </c>
      <c r="P370" s="55"/>
      <c r="Q370" s="53"/>
    </row>
    <row r="371" spans="1:17" ht="12.75">
      <c r="A371" s="11" t="s">
        <v>104</v>
      </c>
      <c r="B371" s="11"/>
      <c r="C371" s="91">
        <f>SUM(C372:C379)</f>
        <v>32100</v>
      </c>
      <c r="D371" s="84"/>
      <c r="E371" s="84">
        <f>E372+E374+E378</f>
        <v>2940.8</v>
      </c>
      <c r="F371" s="84">
        <f t="shared" si="119"/>
        <v>35040.8</v>
      </c>
      <c r="G371" s="84">
        <f>G372+G374+G375+G378</f>
        <v>-778</v>
      </c>
      <c r="H371" s="84">
        <f>H372+H374+H375+H378</f>
        <v>2500</v>
      </c>
      <c r="I371" s="84">
        <f t="shared" si="122"/>
        <v>36762.8</v>
      </c>
      <c r="J371" s="84">
        <f>SUM(J372:J378)</f>
        <v>814.1999999999999</v>
      </c>
      <c r="K371" s="84">
        <f>SUM(K372:K378)</f>
        <v>0</v>
      </c>
      <c r="L371" s="91">
        <f>SUM(L372:L379)</f>
        <v>37577</v>
      </c>
      <c r="M371" s="91">
        <f>SUM(M372:M379)</f>
        <v>-3187.4</v>
      </c>
      <c r="N371" s="84"/>
      <c r="O371" s="91">
        <f>SUM(O372:O379)</f>
        <v>34389.6</v>
      </c>
      <c r="P371" s="55"/>
      <c r="Q371" s="53"/>
    </row>
    <row r="372" spans="1:17" ht="12.75">
      <c r="A372" s="11" t="s">
        <v>381</v>
      </c>
      <c r="B372" s="11"/>
      <c r="C372" s="91">
        <v>31500</v>
      </c>
      <c r="D372" s="84"/>
      <c r="E372" s="84">
        <v>2773.8</v>
      </c>
      <c r="F372" s="84">
        <f t="shared" si="119"/>
        <v>34273.8</v>
      </c>
      <c r="G372" s="84">
        <v>-1500</v>
      </c>
      <c r="H372" s="84">
        <v>2500</v>
      </c>
      <c r="I372" s="84">
        <f t="shared" si="122"/>
        <v>35273.8</v>
      </c>
      <c r="J372" s="84">
        <f>356</f>
        <v>356</v>
      </c>
      <c r="K372" s="84"/>
      <c r="L372" s="84">
        <f t="shared" si="120"/>
        <v>35629.8</v>
      </c>
      <c r="M372" s="91">
        <f>-484-1905.1-1500</f>
        <v>-3889.1</v>
      </c>
      <c r="N372" s="84"/>
      <c r="O372" s="84">
        <f t="shared" si="121"/>
        <v>31740.700000000004</v>
      </c>
      <c r="P372" s="55"/>
      <c r="Q372" s="53"/>
    </row>
    <row r="373" spans="1:17" ht="12.75">
      <c r="A373" s="11" t="s">
        <v>343</v>
      </c>
      <c r="B373" s="11"/>
      <c r="C373" s="91"/>
      <c r="D373" s="84"/>
      <c r="E373" s="84"/>
      <c r="F373" s="84"/>
      <c r="G373" s="84"/>
      <c r="H373" s="84"/>
      <c r="I373" s="84">
        <f t="shared" si="122"/>
        <v>0</v>
      </c>
      <c r="J373" s="84">
        <v>14.9</v>
      </c>
      <c r="K373" s="84"/>
      <c r="L373" s="84">
        <f t="shared" si="120"/>
        <v>14.9</v>
      </c>
      <c r="M373" s="91">
        <v>134.6</v>
      </c>
      <c r="N373" s="84"/>
      <c r="O373" s="84">
        <f t="shared" si="121"/>
        <v>149.5</v>
      </c>
      <c r="P373" s="55"/>
      <c r="Q373" s="53"/>
    </row>
    <row r="374" spans="1:17" ht="12.75">
      <c r="A374" s="11" t="s">
        <v>344</v>
      </c>
      <c r="B374" s="11"/>
      <c r="C374" s="91"/>
      <c r="D374" s="84"/>
      <c r="E374" s="84">
        <v>77.9</v>
      </c>
      <c r="F374" s="84">
        <f t="shared" si="119"/>
        <v>77.9</v>
      </c>
      <c r="G374" s="84">
        <f>181+281+172.1</f>
        <v>634.1</v>
      </c>
      <c r="H374" s="84"/>
      <c r="I374" s="84">
        <f t="shared" si="122"/>
        <v>712</v>
      </c>
      <c r="J374" s="84">
        <f>223.9+0.6</f>
        <v>224.5</v>
      </c>
      <c r="K374" s="84"/>
      <c r="L374" s="84">
        <f t="shared" si="120"/>
        <v>936.5</v>
      </c>
      <c r="M374" s="91">
        <f>242+13.9+69.2</f>
        <v>325.1</v>
      </c>
      <c r="N374" s="84"/>
      <c r="O374" s="84">
        <f t="shared" si="121"/>
        <v>1261.6</v>
      </c>
      <c r="P374" s="55"/>
      <c r="Q374" s="53"/>
    </row>
    <row r="375" spans="1:17" ht="12.75">
      <c r="A375" s="11" t="s">
        <v>345</v>
      </c>
      <c r="B375" s="11"/>
      <c r="C375" s="91"/>
      <c r="D375" s="84"/>
      <c r="E375" s="84"/>
      <c r="F375" s="84">
        <f t="shared" si="119"/>
        <v>0</v>
      </c>
      <c r="G375" s="84">
        <f>87.9</f>
        <v>87.9</v>
      </c>
      <c r="H375" s="84"/>
      <c r="I375" s="84">
        <f t="shared" si="122"/>
        <v>87.9</v>
      </c>
      <c r="J375" s="84">
        <f>-81.2</f>
        <v>-81.2</v>
      </c>
      <c r="K375" s="84"/>
      <c r="L375" s="84">
        <f t="shared" si="120"/>
        <v>6.700000000000003</v>
      </c>
      <c r="M375" s="91"/>
      <c r="N375" s="84"/>
      <c r="O375" s="84">
        <f t="shared" si="121"/>
        <v>6.700000000000003</v>
      </c>
      <c r="P375" s="55"/>
      <c r="Q375" s="53"/>
    </row>
    <row r="376" spans="1:17" ht="12.75">
      <c r="A376" s="11" t="s">
        <v>346</v>
      </c>
      <c r="B376" s="11"/>
      <c r="C376" s="91"/>
      <c r="D376" s="84"/>
      <c r="E376" s="84"/>
      <c r="F376" s="84"/>
      <c r="G376" s="84"/>
      <c r="H376" s="84"/>
      <c r="I376" s="84">
        <f t="shared" si="122"/>
        <v>0</v>
      </c>
      <c r="J376" s="84">
        <v>300</v>
      </c>
      <c r="K376" s="84"/>
      <c r="L376" s="84">
        <f t="shared" si="120"/>
        <v>300</v>
      </c>
      <c r="M376" s="91"/>
      <c r="N376" s="84"/>
      <c r="O376" s="84">
        <f t="shared" si="121"/>
        <v>300</v>
      </c>
      <c r="P376" s="55"/>
      <c r="Q376" s="53"/>
    </row>
    <row r="377" spans="1:17" ht="12.75">
      <c r="A377" s="11" t="s">
        <v>361</v>
      </c>
      <c r="B377" s="11"/>
      <c r="C377" s="91"/>
      <c r="D377" s="84"/>
      <c r="E377" s="84"/>
      <c r="F377" s="84"/>
      <c r="G377" s="84"/>
      <c r="H377" s="84"/>
      <c r="I377" s="84">
        <f t="shared" si="122"/>
        <v>0</v>
      </c>
      <c r="J377" s="84"/>
      <c r="K377" s="84"/>
      <c r="L377" s="84">
        <f t="shared" si="120"/>
        <v>0</v>
      </c>
      <c r="M377" s="91">
        <f>181.5</f>
        <v>181.5</v>
      </c>
      <c r="N377" s="84"/>
      <c r="O377" s="84">
        <f t="shared" si="121"/>
        <v>181.5</v>
      </c>
      <c r="P377" s="55"/>
      <c r="Q377" s="53"/>
    </row>
    <row r="378" spans="1:17" ht="12.75">
      <c r="A378" s="11" t="s">
        <v>347</v>
      </c>
      <c r="B378" s="11"/>
      <c r="C378" s="91"/>
      <c r="D378" s="84"/>
      <c r="E378" s="84">
        <v>89.1</v>
      </c>
      <c r="F378" s="84">
        <f t="shared" si="119"/>
        <v>89.1</v>
      </c>
      <c r="G378" s="84"/>
      <c r="H378" s="84"/>
      <c r="I378" s="84">
        <f t="shared" si="122"/>
        <v>89.1</v>
      </c>
      <c r="J378" s="84"/>
      <c r="K378" s="84"/>
      <c r="L378" s="84">
        <f t="shared" si="120"/>
        <v>89.1</v>
      </c>
      <c r="M378" s="91">
        <v>60.5</v>
      </c>
      <c r="N378" s="84"/>
      <c r="O378" s="84">
        <f t="shared" si="121"/>
        <v>149.6</v>
      </c>
      <c r="P378" s="55"/>
      <c r="Q378" s="53"/>
    </row>
    <row r="379" spans="1:17" ht="12.75">
      <c r="A379" s="11" t="s">
        <v>380</v>
      </c>
      <c r="B379" s="11"/>
      <c r="C379" s="91">
        <v>600</v>
      </c>
      <c r="D379" s="84"/>
      <c r="E379" s="84"/>
      <c r="F379" s="84">
        <f t="shared" si="119"/>
        <v>600</v>
      </c>
      <c r="G379" s="84"/>
      <c r="H379" s="84"/>
      <c r="I379" s="84">
        <f t="shared" si="122"/>
        <v>600</v>
      </c>
      <c r="J379" s="84"/>
      <c r="K379" s="84"/>
      <c r="L379" s="84">
        <f t="shared" si="120"/>
        <v>600</v>
      </c>
      <c r="M379" s="91"/>
      <c r="N379" s="84"/>
      <c r="O379" s="84">
        <f t="shared" si="121"/>
        <v>600</v>
      </c>
      <c r="P379" s="55"/>
      <c r="Q379" s="53"/>
    </row>
    <row r="380" spans="1:17" ht="12.75">
      <c r="A380" s="17" t="s">
        <v>75</v>
      </c>
      <c r="B380" s="17"/>
      <c r="C380" s="87">
        <f aca="true" t="shared" si="123" ref="C380:O380">SUM(C382:C394)</f>
        <v>117320.3</v>
      </c>
      <c r="D380" s="87">
        <f t="shared" si="123"/>
        <v>345000</v>
      </c>
      <c r="E380" s="87">
        <f t="shared" si="123"/>
        <v>317938.9</v>
      </c>
      <c r="F380" s="87">
        <f t="shared" si="123"/>
        <v>780259.2</v>
      </c>
      <c r="G380" s="87">
        <f t="shared" si="123"/>
        <v>134548.19999999998</v>
      </c>
      <c r="H380" s="87">
        <f t="shared" si="123"/>
        <v>-2500</v>
      </c>
      <c r="I380" s="87">
        <f t="shared" si="123"/>
        <v>912307.3999999999</v>
      </c>
      <c r="J380" s="87">
        <f t="shared" si="123"/>
        <v>40433.6</v>
      </c>
      <c r="K380" s="87">
        <f t="shared" si="123"/>
        <v>1144.3</v>
      </c>
      <c r="L380" s="87">
        <f t="shared" si="123"/>
        <v>953885.2999999999</v>
      </c>
      <c r="M380" s="87">
        <f t="shared" si="123"/>
        <v>73908.9</v>
      </c>
      <c r="N380" s="87">
        <f t="shared" si="123"/>
        <v>0</v>
      </c>
      <c r="O380" s="87">
        <f t="shared" si="123"/>
        <v>1027794.2</v>
      </c>
      <c r="P380" s="55"/>
      <c r="Q380" s="53"/>
    </row>
    <row r="381" spans="1:17" ht="12.75">
      <c r="A381" s="13" t="s">
        <v>38</v>
      </c>
      <c r="B381" s="13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91"/>
      <c r="N381" s="84"/>
      <c r="O381" s="84"/>
      <c r="P381" s="55"/>
      <c r="Q381" s="53"/>
    </row>
    <row r="382" spans="1:17" ht="12.75">
      <c r="A382" s="15" t="s">
        <v>270</v>
      </c>
      <c r="B382" s="15"/>
      <c r="C382" s="84"/>
      <c r="D382" s="84">
        <v>14000</v>
      </c>
      <c r="E382" s="84"/>
      <c r="F382" s="84">
        <f>C382+D382+E382</f>
        <v>14000</v>
      </c>
      <c r="G382" s="84"/>
      <c r="H382" s="84"/>
      <c r="I382" s="84">
        <f aca="true" t="shared" si="124" ref="I382:I401">F382+G382+H382</f>
        <v>14000</v>
      </c>
      <c r="J382" s="84"/>
      <c r="K382" s="84"/>
      <c r="L382" s="84">
        <f aca="true" t="shared" si="125" ref="L382:L401">I382+J382+K382</f>
        <v>14000</v>
      </c>
      <c r="M382" s="91"/>
      <c r="N382" s="84"/>
      <c r="O382" s="84">
        <f aca="true" t="shared" si="126" ref="O382:O401">L382+M382+N382</f>
        <v>14000</v>
      </c>
      <c r="P382" s="55"/>
      <c r="Q382" s="53"/>
    </row>
    <row r="383" spans="1:17" ht="12.75" hidden="1">
      <c r="A383" s="15" t="s">
        <v>314</v>
      </c>
      <c r="B383" s="15"/>
      <c r="C383" s="84"/>
      <c r="D383" s="84"/>
      <c r="E383" s="84"/>
      <c r="F383" s="84">
        <f>C383+D383+E383</f>
        <v>0</v>
      </c>
      <c r="G383" s="84">
        <v>1000</v>
      </c>
      <c r="H383" s="84"/>
      <c r="I383" s="84">
        <f t="shared" si="124"/>
        <v>1000</v>
      </c>
      <c r="J383" s="84">
        <v>-1000</v>
      </c>
      <c r="K383" s="84"/>
      <c r="L383" s="84">
        <f t="shared" si="125"/>
        <v>0</v>
      </c>
      <c r="M383" s="91"/>
      <c r="N383" s="84"/>
      <c r="O383" s="84">
        <f t="shared" si="126"/>
        <v>0</v>
      </c>
      <c r="P383" s="55"/>
      <c r="Q383" s="53"/>
    </row>
    <row r="384" spans="1:17" ht="12.75">
      <c r="A384" s="15" t="s">
        <v>300</v>
      </c>
      <c r="B384" s="15"/>
      <c r="C384" s="84"/>
      <c r="D384" s="84"/>
      <c r="E384" s="84">
        <v>1839.4</v>
      </c>
      <c r="F384" s="84">
        <f aca="true" t="shared" si="127" ref="F384:F401">C384+D384+E384</f>
        <v>1839.4</v>
      </c>
      <c r="G384" s="84"/>
      <c r="H384" s="84"/>
      <c r="I384" s="84">
        <f t="shared" si="124"/>
        <v>1839.4</v>
      </c>
      <c r="J384" s="84"/>
      <c r="K384" s="84"/>
      <c r="L384" s="84">
        <f t="shared" si="125"/>
        <v>1839.4</v>
      </c>
      <c r="M384" s="91"/>
      <c r="N384" s="84"/>
      <c r="O384" s="84">
        <f t="shared" si="126"/>
        <v>1839.4</v>
      </c>
      <c r="P384" s="55"/>
      <c r="Q384" s="53"/>
    </row>
    <row r="385" spans="1:17" ht="12.75">
      <c r="A385" s="15" t="s">
        <v>299</v>
      </c>
      <c r="B385" s="107">
        <v>33939</v>
      </c>
      <c r="C385" s="84"/>
      <c r="D385" s="84"/>
      <c r="E385" s="84"/>
      <c r="F385" s="84">
        <f t="shared" si="127"/>
        <v>0</v>
      </c>
      <c r="G385" s="84">
        <v>23144.8</v>
      </c>
      <c r="H385" s="84"/>
      <c r="I385" s="84">
        <f t="shared" si="124"/>
        <v>23144.8</v>
      </c>
      <c r="J385" s="84"/>
      <c r="K385" s="84"/>
      <c r="L385" s="84">
        <f>I385+J385+K385</f>
        <v>23144.8</v>
      </c>
      <c r="M385" s="91"/>
      <c r="N385" s="84"/>
      <c r="O385" s="84">
        <f t="shared" si="126"/>
        <v>23144.8</v>
      </c>
      <c r="P385" s="55"/>
      <c r="Q385" s="53"/>
    </row>
    <row r="386" spans="1:17" ht="12.75">
      <c r="A386" s="15" t="s">
        <v>375</v>
      </c>
      <c r="B386" s="107"/>
      <c r="C386" s="84"/>
      <c r="D386" s="84"/>
      <c r="E386" s="84"/>
      <c r="F386" s="84"/>
      <c r="G386" s="84"/>
      <c r="H386" s="84"/>
      <c r="I386" s="84"/>
      <c r="J386" s="84">
        <f>16889.5</f>
        <v>16889.5</v>
      </c>
      <c r="K386" s="84"/>
      <c r="L386" s="84">
        <f>I386+J386+K386</f>
        <v>16889.5</v>
      </c>
      <c r="M386" s="91"/>
      <c r="N386" s="84"/>
      <c r="O386" s="84">
        <f t="shared" si="126"/>
        <v>16889.5</v>
      </c>
      <c r="P386" s="55"/>
      <c r="Q386" s="53"/>
    </row>
    <row r="387" spans="1:17" ht="12.75">
      <c r="A387" s="15" t="s">
        <v>370</v>
      </c>
      <c r="B387" s="107">
        <v>13899</v>
      </c>
      <c r="C387" s="84"/>
      <c r="D387" s="84"/>
      <c r="E387" s="84"/>
      <c r="F387" s="84"/>
      <c r="G387" s="84"/>
      <c r="H387" s="84"/>
      <c r="I387" s="84"/>
      <c r="J387" s="84"/>
      <c r="K387" s="84"/>
      <c r="L387" s="84">
        <f>I387+J387+K387</f>
        <v>0</v>
      </c>
      <c r="M387" s="91">
        <v>4076.6</v>
      </c>
      <c r="N387" s="84"/>
      <c r="O387" s="84">
        <f t="shared" si="126"/>
        <v>4076.6</v>
      </c>
      <c r="P387" s="55"/>
      <c r="Q387" s="53"/>
    </row>
    <row r="388" spans="1:17" ht="12.75">
      <c r="A388" s="11" t="s">
        <v>208</v>
      </c>
      <c r="B388" s="11"/>
      <c r="C388" s="84"/>
      <c r="D388" s="84"/>
      <c r="E388" s="84"/>
      <c r="F388" s="84">
        <f t="shared" si="127"/>
        <v>0</v>
      </c>
      <c r="G388" s="84">
        <v>1854.7</v>
      </c>
      <c r="H388" s="84"/>
      <c r="I388" s="84">
        <f t="shared" si="124"/>
        <v>1854.7</v>
      </c>
      <c r="J388" s="84">
        <f>-1854.6</f>
        <v>-1854.6</v>
      </c>
      <c r="K388" s="84"/>
      <c r="L388" s="84">
        <f t="shared" si="125"/>
        <v>0.10000000000013642</v>
      </c>
      <c r="M388" s="91"/>
      <c r="N388" s="84"/>
      <c r="O388" s="84">
        <f t="shared" si="126"/>
        <v>0.10000000000013642</v>
      </c>
      <c r="P388" s="55"/>
      <c r="Q388" s="53"/>
    </row>
    <row r="389" spans="1:17" ht="12.75">
      <c r="A389" s="15" t="s">
        <v>266</v>
      </c>
      <c r="B389" s="15"/>
      <c r="C389" s="84"/>
      <c r="D389" s="84">
        <v>300000</v>
      </c>
      <c r="E389" s="84"/>
      <c r="F389" s="84">
        <f t="shared" si="127"/>
        <v>300000</v>
      </c>
      <c r="G389" s="84"/>
      <c r="H389" s="84"/>
      <c r="I389" s="84">
        <f t="shared" si="124"/>
        <v>300000</v>
      </c>
      <c r="J389" s="84"/>
      <c r="K389" s="84"/>
      <c r="L389" s="84">
        <f t="shared" si="125"/>
        <v>300000</v>
      </c>
      <c r="M389" s="91"/>
      <c r="N389" s="84"/>
      <c r="O389" s="84">
        <f t="shared" si="126"/>
        <v>300000</v>
      </c>
      <c r="P389" s="55"/>
      <c r="Q389" s="53"/>
    </row>
    <row r="390" spans="1:17" ht="12.75">
      <c r="A390" s="15" t="s">
        <v>271</v>
      </c>
      <c r="B390" s="109" t="s">
        <v>376</v>
      </c>
      <c r="C390" s="84"/>
      <c r="D390" s="84">
        <v>29000</v>
      </c>
      <c r="E390" s="84">
        <v>-2000</v>
      </c>
      <c r="F390" s="84">
        <f t="shared" si="127"/>
        <v>27000</v>
      </c>
      <c r="G390" s="84">
        <f>10000+2000</f>
        <v>12000</v>
      </c>
      <c r="H390" s="84"/>
      <c r="I390" s="84">
        <f t="shared" si="124"/>
        <v>39000</v>
      </c>
      <c r="J390" s="84"/>
      <c r="K390" s="84"/>
      <c r="L390" s="84">
        <f t="shared" si="125"/>
        <v>39000</v>
      </c>
      <c r="M390" s="91">
        <v>5000</v>
      </c>
      <c r="N390" s="84"/>
      <c r="O390" s="84">
        <f t="shared" si="126"/>
        <v>44000</v>
      </c>
      <c r="P390" s="55"/>
      <c r="Q390" s="53"/>
    </row>
    <row r="391" spans="1:17" ht="12.75">
      <c r="A391" s="15" t="s">
        <v>386</v>
      </c>
      <c r="B391" s="109"/>
      <c r="C391" s="84"/>
      <c r="D391" s="84"/>
      <c r="E391" s="84"/>
      <c r="F391" s="84"/>
      <c r="G391" s="84"/>
      <c r="H391" s="84"/>
      <c r="I391" s="84"/>
      <c r="J391" s="84"/>
      <c r="K391" s="84"/>
      <c r="L391" s="84">
        <f t="shared" si="125"/>
        <v>0</v>
      </c>
      <c r="M391" s="91">
        <v>30000</v>
      </c>
      <c r="N391" s="84"/>
      <c r="O391" s="84">
        <f t="shared" si="126"/>
        <v>30000</v>
      </c>
      <c r="P391" s="55"/>
      <c r="Q391" s="53"/>
    </row>
    <row r="392" spans="1:17" ht="12.75">
      <c r="A392" s="15" t="s">
        <v>308</v>
      </c>
      <c r="B392" s="107" t="s">
        <v>349</v>
      </c>
      <c r="C392" s="84"/>
      <c r="D392" s="84"/>
      <c r="E392" s="84"/>
      <c r="F392" s="84">
        <f t="shared" si="127"/>
        <v>0</v>
      </c>
      <c r="G392" s="84">
        <v>9394.8</v>
      </c>
      <c r="H392" s="84"/>
      <c r="I392" s="84">
        <f t="shared" si="124"/>
        <v>9394.8</v>
      </c>
      <c r="J392" s="84"/>
      <c r="K392" s="84"/>
      <c r="L392" s="84">
        <f t="shared" si="125"/>
        <v>9394.8</v>
      </c>
      <c r="M392" s="91"/>
      <c r="N392" s="84"/>
      <c r="O392" s="84">
        <f t="shared" si="126"/>
        <v>9394.8</v>
      </c>
      <c r="P392" s="55"/>
      <c r="Q392" s="53"/>
    </row>
    <row r="393" spans="1:17" ht="12.75">
      <c r="A393" s="15" t="s">
        <v>341</v>
      </c>
      <c r="B393" s="15"/>
      <c r="C393" s="84"/>
      <c r="D393" s="84">
        <v>2000</v>
      </c>
      <c r="E393" s="84"/>
      <c r="F393" s="84">
        <f t="shared" si="127"/>
        <v>2000</v>
      </c>
      <c r="G393" s="84">
        <v>-2000</v>
      </c>
      <c r="H393" s="84"/>
      <c r="I393" s="84">
        <f t="shared" si="124"/>
        <v>0</v>
      </c>
      <c r="J393" s="84">
        <v>150</v>
      </c>
      <c r="K393" s="84"/>
      <c r="L393" s="84">
        <f t="shared" si="125"/>
        <v>150</v>
      </c>
      <c r="M393" s="91"/>
      <c r="N393" s="84"/>
      <c r="O393" s="84">
        <f t="shared" si="126"/>
        <v>150</v>
      </c>
      <c r="P393" s="55"/>
      <c r="Q393" s="53"/>
    </row>
    <row r="394" spans="1:17" ht="12.75">
      <c r="A394" s="15" t="s">
        <v>272</v>
      </c>
      <c r="B394" s="15"/>
      <c r="C394" s="84">
        <f aca="true" t="shared" si="128" ref="C394:O394">SUM(C395:C401)</f>
        <v>117320.3</v>
      </c>
      <c r="D394" s="84">
        <f t="shared" si="128"/>
        <v>0</v>
      </c>
      <c r="E394" s="84">
        <f t="shared" si="128"/>
        <v>318099.5</v>
      </c>
      <c r="F394" s="84">
        <f t="shared" si="128"/>
        <v>435419.8</v>
      </c>
      <c r="G394" s="84">
        <f t="shared" si="128"/>
        <v>89153.89999999998</v>
      </c>
      <c r="H394" s="84">
        <f t="shared" si="128"/>
        <v>-2500</v>
      </c>
      <c r="I394" s="84">
        <f t="shared" si="128"/>
        <v>522073.69999999995</v>
      </c>
      <c r="J394" s="84">
        <f t="shared" si="128"/>
        <v>26248.699999999997</v>
      </c>
      <c r="K394" s="84">
        <f t="shared" si="128"/>
        <v>1144.3</v>
      </c>
      <c r="L394" s="84">
        <f t="shared" si="128"/>
        <v>549466.7</v>
      </c>
      <c r="M394" s="84">
        <f t="shared" si="128"/>
        <v>34832.3</v>
      </c>
      <c r="N394" s="84">
        <f t="shared" si="128"/>
        <v>0</v>
      </c>
      <c r="O394" s="84">
        <f t="shared" si="128"/>
        <v>584298.9999999999</v>
      </c>
      <c r="P394" s="55"/>
      <c r="Q394" s="53"/>
    </row>
    <row r="395" spans="1:17" ht="12.75">
      <c r="A395" s="15" t="s">
        <v>321</v>
      </c>
      <c r="B395" s="15"/>
      <c r="C395" s="84"/>
      <c r="D395" s="84"/>
      <c r="E395" s="84"/>
      <c r="F395" s="84">
        <f t="shared" si="127"/>
        <v>0</v>
      </c>
      <c r="G395" s="91">
        <f>6401.4+10790.5</f>
        <v>17191.9</v>
      </c>
      <c r="H395" s="84"/>
      <c r="I395" s="84">
        <f t="shared" si="124"/>
        <v>17191.9</v>
      </c>
      <c r="J395" s="84">
        <v>-14.9</v>
      </c>
      <c r="K395" s="84"/>
      <c r="L395" s="84">
        <f t="shared" si="125"/>
        <v>17177</v>
      </c>
      <c r="M395" s="91">
        <f>-1246.8-134.6</f>
        <v>-1381.3999999999999</v>
      </c>
      <c r="N395" s="84"/>
      <c r="O395" s="84">
        <f t="shared" si="126"/>
        <v>15795.6</v>
      </c>
      <c r="P395" s="55"/>
      <c r="Q395" s="53"/>
    </row>
    <row r="396" spans="1:17" ht="12.75">
      <c r="A396" s="15" t="s">
        <v>273</v>
      </c>
      <c r="B396" s="15"/>
      <c r="C396" s="84">
        <v>58450</v>
      </c>
      <c r="D396" s="84"/>
      <c r="E396" s="84"/>
      <c r="F396" s="84">
        <f t="shared" si="127"/>
        <v>58450</v>
      </c>
      <c r="G396" s="84">
        <f>40425.6+8766.9+12341.2+9174.5+18217.1</f>
        <v>88925.29999999999</v>
      </c>
      <c r="H396" s="84"/>
      <c r="I396" s="84">
        <f t="shared" si="124"/>
        <v>147375.3</v>
      </c>
      <c r="J396" s="84">
        <f>-16850.9</f>
        <v>-16850.9</v>
      </c>
      <c r="K396" s="84"/>
      <c r="L396" s="84">
        <f t="shared" si="125"/>
        <v>130524.4</v>
      </c>
      <c r="M396" s="91">
        <f>192.5+7083+716.4+6527.9</f>
        <v>14519.8</v>
      </c>
      <c r="N396" s="84"/>
      <c r="O396" s="84">
        <f t="shared" si="126"/>
        <v>145044.19999999998</v>
      </c>
      <c r="P396" s="55"/>
      <c r="Q396" s="53"/>
    </row>
    <row r="397" spans="1:17" ht="12.75">
      <c r="A397" s="15" t="s">
        <v>274</v>
      </c>
      <c r="B397" s="15"/>
      <c r="C397" s="84">
        <v>20190</v>
      </c>
      <c r="D397" s="84"/>
      <c r="E397" s="113">
        <f>22005.8+1045.1-77.9</f>
        <v>22972.999999999996</v>
      </c>
      <c r="F397" s="84">
        <f>C397+D397+E397</f>
        <v>43163</v>
      </c>
      <c r="G397" s="84">
        <f>1770.9+10551.2+3888.9+4644.2+144.7+170.2+2028.3</f>
        <v>23198.4</v>
      </c>
      <c r="H397" s="84"/>
      <c r="I397" s="84">
        <f t="shared" si="124"/>
        <v>66361.4</v>
      </c>
      <c r="J397" s="84">
        <f>251.8+1856+56.9+108.2+16.5+3817.1-0.6</f>
        <v>6105.9</v>
      </c>
      <c r="K397" s="84"/>
      <c r="L397" s="84">
        <f t="shared" si="125"/>
        <v>72467.29999999999</v>
      </c>
      <c r="M397" s="91">
        <f>10579.6+7.1+1084.7+12083.4+96.8+6678.5+2265.8+468.9</f>
        <v>33264.8</v>
      </c>
      <c r="N397" s="84"/>
      <c r="O397" s="84">
        <f t="shared" si="126"/>
        <v>105732.09999999999</v>
      </c>
      <c r="P397" s="55"/>
      <c r="Q397" s="53"/>
    </row>
    <row r="398" spans="1:17" ht="12.75">
      <c r="A398" s="15" t="s">
        <v>279</v>
      </c>
      <c r="B398" s="15"/>
      <c r="C398" s="84"/>
      <c r="D398" s="84"/>
      <c r="E398" s="84">
        <f>87.2+51000+95.3+1943.7</f>
        <v>53126.2</v>
      </c>
      <c r="F398" s="84">
        <f t="shared" si="127"/>
        <v>53126.2</v>
      </c>
      <c r="G398" s="84"/>
      <c r="H398" s="84">
        <v>-2500</v>
      </c>
      <c r="I398" s="84">
        <f t="shared" si="124"/>
        <v>50626.2</v>
      </c>
      <c r="J398" s="84">
        <f>1546.8</f>
        <v>1546.8</v>
      </c>
      <c r="K398" s="84"/>
      <c r="L398" s="84">
        <f t="shared" si="125"/>
        <v>52173</v>
      </c>
      <c r="M398" s="91">
        <f>415.5+1002.4</f>
        <v>1417.9</v>
      </c>
      <c r="N398" s="84"/>
      <c r="O398" s="84">
        <f t="shared" si="126"/>
        <v>53590.9</v>
      </c>
      <c r="P398" s="55"/>
      <c r="Q398" s="53"/>
    </row>
    <row r="399" spans="1:17" ht="12.75">
      <c r="A399" s="15" t="s">
        <v>275</v>
      </c>
      <c r="B399" s="15"/>
      <c r="C399" s="84">
        <v>1834</v>
      </c>
      <c r="D399" s="84"/>
      <c r="E399" s="84"/>
      <c r="F399" s="84">
        <f t="shared" si="127"/>
        <v>1834</v>
      </c>
      <c r="G399" s="84"/>
      <c r="H399" s="84"/>
      <c r="I399" s="84">
        <f t="shared" si="124"/>
        <v>1834</v>
      </c>
      <c r="J399" s="84"/>
      <c r="K399" s="84"/>
      <c r="L399" s="84">
        <f t="shared" si="125"/>
        <v>1834</v>
      </c>
      <c r="M399" s="91">
        <f>404.9+25.4</f>
        <v>430.29999999999995</v>
      </c>
      <c r="N399" s="84"/>
      <c r="O399" s="84">
        <f t="shared" si="126"/>
        <v>2264.3</v>
      </c>
      <c r="P399" s="55"/>
      <c r="Q399" s="53"/>
    </row>
    <row r="400" spans="1:17" ht="12.75">
      <c r="A400" s="15" t="s">
        <v>312</v>
      </c>
      <c r="B400" s="15"/>
      <c r="C400" s="84"/>
      <c r="D400" s="84"/>
      <c r="E400" s="84"/>
      <c r="F400" s="84">
        <f t="shared" si="127"/>
        <v>0</v>
      </c>
      <c r="G400" s="84">
        <f>1000+2350</f>
        <v>3350</v>
      </c>
      <c r="H400" s="84"/>
      <c r="I400" s="84">
        <f t="shared" si="124"/>
        <v>3350</v>
      </c>
      <c r="J400" s="84">
        <v>-300</v>
      </c>
      <c r="K400" s="84"/>
      <c r="L400" s="84">
        <f t="shared" si="125"/>
        <v>3050</v>
      </c>
      <c r="M400" s="91">
        <f>1627.2+1500+1160.8+1246.8</f>
        <v>5534.8</v>
      </c>
      <c r="N400" s="84"/>
      <c r="O400" s="84">
        <f t="shared" si="126"/>
        <v>8584.8</v>
      </c>
      <c r="P400" s="55"/>
      <c r="Q400" s="53"/>
    </row>
    <row r="401" spans="1:17" ht="12.75">
      <c r="A401" s="22" t="s">
        <v>319</v>
      </c>
      <c r="B401" s="22"/>
      <c r="C401" s="88">
        <v>36846.3</v>
      </c>
      <c r="D401" s="88"/>
      <c r="E401" s="88">
        <f>141892.6+100107.7</f>
        <v>242000.3</v>
      </c>
      <c r="F401" s="88">
        <f t="shared" si="127"/>
        <v>278846.6</v>
      </c>
      <c r="G401" s="92">
        <f>-1505.3-265.6-153.8-27.2-9987.3-563.8-238.9-42.2-3160.6-728.3-4644.2-123-21.7-146.3-25.8-1544.4-2028.3-18305</f>
        <v>-43511.7</v>
      </c>
      <c r="H401" s="88"/>
      <c r="I401" s="88">
        <f t="shared" si="124"/>
        <v>235334.89999999997</v>
      </c>
      <c r="J401" s="88">
        <f>2199.3+2743+514.4+48+9384.7+1489.8-453.6-248.9-2.5-0.4-1546.8-1856-223.9-55.3-1.6-11000-4000-2765.6-108.2-16.5-475.4-3758.4-58.7+2122.9+16932.1+11000+4000-785.5+2229.8+10455.1</f>
        <v>35761.8</v>
      </c>
      <c r="K401" s="88">
        <v>1144.3</v>
      </c>
      <c r="L401" s="88">
        <f t="shared" si="125"/>
        <v>272240.99999999994</v>
      </c>
      <c r="M401" s="92">
        <f>5794.3+111.3+1956.1+1328.5-10579.6-7.1-27864.3-1986.9-1938-342-1002.4-716.4-13.9-1627.2-2500-12083.4-166-1160.8+2162.6+25431+2905.8+117.1+107+57.1-171-6507.5-2265.8-398.6-70.3-559.5+13000+36</f>
        <v>-18953.900000000005</v>
      </c>
      <c r="N401" s="88"/>
      <c r="O401" s="88">
        <f t="shared" si="126"/>
        <v>253287.09999999995</v>
      </c>
      <c r="P401" s="55"/>
      <c r="Q401" s="53"/>
    </row>
    <row r="402" spans="1:17" ht="12.75">
      <c r="A402" s="8" t="s">
        <v>136</v>
      </c>
      <c r="B402" s="8"/>
      <c r="C402" s="83">
        <f aca="true" t="shared" si="129" ref="C402:O402">C403+C429</f>
        <v>163499</v>
      </c>
      <c r="D402" s="83">
        <f t="shared" si="129"/>
        <v>0</v>
      </c>
      <c r="E402" s="83">
        <f t="shared" si="129"/>
        <v>17294.5</v>
      </c>
      <c r="F402" s="83">
        <f t="shared" si="129"/>
        <v>180793.5</v>
      </c>
      <c r="G402" s="83">
        <f t="shared" si="129"/>
        <v>21221.6</v>
      </c>
      <c r="H402" s="83">
        <f t="shared" si="129"/>
        <v>0</v>
      </c>
      <c r="I402" s="83">
        <f t="shared" si="129"/>
        <v>202015.09999999998</v>
      </c>
      <c r="J402" s="83">
        <f t="shared" si="129"/>
        <v>66352.9</v>
      </c>
      <c r="K402" s="83">
        <f t="shared" si="129"/>
        <v>0</v>
      </c>
      <c r="L402" s="83">
        <f t="shared" si="129"/>
        <v>268368</v>
      </c>
      <c r="M402" s="83">
        <f t="shared" si="129"/>
        <v>3873.2</v>
      </c>
      <c r="N402" s="83">
        <f t="shared" si="129"/>
        <v>0</v>
      </c>
      <c r="O402" s="83">
        <f t="shared" si="129"/>
        <v>272241.2</v>
      </c>
      <c r="P402" s="56"/>
      <c r="Q402" s="38">
        <f>Q403+Q429</f>
        <v>180686.09999999998</v>
      </c>
    </row>
    <row r="403" spans="1:17" ht="12.75">
      <c r="A403" s="17" t="s">
        <v>69</v>
      </c>
      <c r="B403" s="17"/>
      <c r="C403" s="87">
        <f aca="true" t="shared" si="130" ref="C403:I403">SUM(C405:C428)</f>
        <v>163499</v>
      </c>
      <c r="D403" s="87">
        <f t="shared" si="130"/>
        <v>0</v>
      </c>
      <c r="E403" s="87">
        <f t="shared" si="130"/>
        <v>17294.5</v>
      </c>
      <c r="F403" s="87">
        <f t="shared" si="130"/>
        <v>180793.5</v>
      </c>
      <c r="G403" s="87">
        <f t="shared" si="130"/>
        <v>21221.6</v>
      </c>
      <c r="H403" s="87">
        <f t="shared" si="130"/>
        <v>0</v>
      </c>
      <c r="I403" s="87">
        <f t="shared" si="130"/>
        <v>202015.09999999998</v>
      </c>
      <c r="J403" s="87">
        <f aca="true" t="shared" si="131" ref="J403:O403">SUM(J405:J428)</f>
        <v>66352.9</v>
      </c>
      <c r="K403" s="87">
        <f t="shared" si="131"/>
        <v>0</v>
      </c>
      <c r="L403" s="87">
        <f t="shared" si="131"/>
        <v>268368</v>
      </c>
      <c r="M403" s="87">
        <f t="shared" si="131"/>
        <v>3873.2</v>
      </c>
      <c r="N403" s="87">
        <f t="shared" si="131"/>
        <v>0</v>
      </c>
      <c r="O403" s="87">
        <f t="shared" si="131"/>
        <v>272241.2</v>
      </c>
      <c r="P403" s="60"/>
      <c r="Q403" s="39">
        <f>SUM(Q405:Q428)</f>
        <v>180686.09999999998</v>
      </c>
    </row>
    <row r="404" spans="1:17" ht="12.75">
      <c r="A404" s="13" t="s">
        <v>38</v>
      </c>
      <c r="B404" s="13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55"/>
      <c r="Q404" s="53"/>
    </row>
    <row r="405" spans="1:17" ht="12.75">
      <c r="A405" s="24" t="s">
        <v>137</v>
      </c>
      <c r="B405" s="24"/>
      <c r="C405" s="84">
        <v>129351</v>
      </c>
      <c r="D405" s="84"/>
      <c r="E405" s="84"/>
      <c r="F405" s="84">
        <f>C405+D405+E405</f>
        <v>129351</v>
      </c>
      <c r="G405" s="84"/>
      <c r="H405" s="84"/>
      <c r="I405" s="84">
        <f>F405+G405+H405</f>
        <v>129351</v>
      </c>
      <c r="J405" s="84"/>
      <c r="K405" s="84"/>
      <c r="L405" s="84">
        <f>I405+J405+K405</f>
        <v>129351</v>
      </c>
      <c r="M405" s="84"/>
      <c r="N405" s="84"/>
      <c r="O405" s="84">
        <f>L405+M405+N405</f>
        <v>129351</v>
      </c>
      <c r="P405" s="55"/>
      <c r="Q405" s="53">
        <f>O405+P405</f>
        <v>129351</v>
      </c>
    </row>
    <row r="406" spans="1:17" ht="12.75">
      <c r="A406" s="11" t="s">
        <v>252</v>
      </c>
      <c r="B406" s="11"/>
      <c r="C406" s="84">
        <v>26000</v>
      </c>
      <c r="D406" s="84"/>
      <c r="E406" s="84"/>
      <c r="F406" s="84">
        <f aca="true" t="shared" si="132" ref="F406:F428">C406+D406+E406</f>
        <v>26000</v>
      </c>
      <c r="G406" s="84"/>
      <c r="H406" s="84"/>
      <c r="I406" s="84">
        <f>F406+G406+H406</f>
        <v>26000</v>
      </c>
      <c r="J406" s="84"/>
      <c r="K406" s="84"/>
      <c r="L406" s="84">
        <f>I406+J406+K406</f>
        <v>26000</v>
      </c>
      <c r="M406" s="84"/>
      <c r="N406" s="84"/>
      <c r="O406" s="84">
        <f aca="true" t="shared" si="133" ref="O406:O419">L406+M406+N406</f>
        <v>26000</v>
      </c>
      <c r="P406" s="55"/>
      <c r="Q406" s="53"/>
    </row>
    <row r="407" spans="1:17" ht="12.75">
      <c r="A407" s="11" t="s">
        <v>72</v>
      </c>
      <c r="B407" s="11"/>
      <c r="C407" s="84">
        <v>8148</v>
      </c>
      <c r="D407" s="84"/>
      <c r="E407" s="84"/>
      <c r="F407" s="84">
        <f t="shared" si="132"/>
        <v>8148</v>
      </c>
      <c r="G407" s="84"/>
      <c r="H407" s="84"/>
      <c r="I407" s="84">
        <f aca="true" t="shared" si="134" ref="I407:I428">F407+G407+H407</f>
        <v>8148</v>
      </c>
      <c r="J407" s="84"/>
      <c r="K407" s="84"/>
      <c r="L407" s="84">
        <f aca="true" t="shared" si="135" ref="L407:L428">I407+J407+K407</f>
        <v>8148</v>
      </c>
      <c r="M407" s="84"/>
      <c r="N407" s="84"/>
      <c r="O407" s="84">
        <f t="shared" si="133"/>
        <v>8148</v>
      </c>
      <c r="P407" s="55"/>
      <c r="Q407" s="53">
        <f aca="true" t="shared" si="136" ref="Q407:Q428">O407+P407</f>
        <v>8148</v>
      </c>
    </row>
    <row r="408" spans="1:17" ht="12.75">
      <c r="A408" s="11" t="s">
        <v>357</v>
      </c>
      <c r="B408" s="11"/>
      <c r="C408" s="84"/>
      <c r="D408" s="84"/>
      <c r="E408" s="84"/>
      <c r="F408" s="84">
        <f t="shared" si="132"/>
        <v>0</v>
      </c>
      <c r="G408" s="84"/>
      <c r="H408" s="84"/>
      <c r="I408" s="84">
        <f t="shared" si="134"/>
        <v>0</v>
      </c>
      <c r="J408" s="84">
        <v>500</v>
      </c>
      <c r="K408" s="84"/>
      <c r="L408" s="84">
        <f t="shared" si="135"/>
        <v>500</v>
      </c>
      <c r="M408" s="84"/>
      <c r="N408" s="84"/>
      <c r="O408" s="84">
        <f t="shared" si="133"/>
        <v>500</v>
      </c>
      <c r="P408" s="55"/>
      <c r="Q408" s="53">
        <f t="shared" si="136"/>
        <v>500</v>
      </c>
    </row>
    <row r="409" spans="1:17" ht="12.75">
      <c r="A409" s="20" t="s">
        <v>318</v>
      </c>
      <c r="B409" s="101">
        <v>4802</v>
      </c>
      <c r="C409" s="84"/>
      <c r="D409" s="84"/>
      <c r="E409" s="84"/>
      <c r="F409" s="84">
        <f t="shared" si="132"/>
        <v>0</v>
      </c>
      <c r="G409" s="84">
        <v>1576.4</v>
      </c>
      <c r="H409" s="84"/>
      <c r="I409" s="84">
        <f t="shared" si="134"/>
        <v>1576.4</v>
      </c>
      <c r="J409" s="84"/>
      <c r="K409" s="84"/>
      <c r="L409" s="84">
        <f t="shared" si="135"/>
        <v>1576.4</v>
      </c>
      <c r="M409" s="84"/>
      <c r="N409" s="84"/>
      <c r="O409" s="84">
        <f t="shared" si="133"/>
        <v>1576.4</v>
      </c>
      <c r="P409" s="55"/>
      <c r="Q409" s="53">
        <f t="shared" si="136"/>
        <v>1576.4</v>
      </c>
    </row>
    <row r="410" spans="1:17" ht="12.75" hidden="1">
      <c r="A410" s="20" t="s">
        <v>206</v>
      </c>
      <c r="B410" s="101"/>
      <c r="C410" s="84"/>
      <c r="D410" s="84"/>
      <c r="E410" s="84"/>
      <c r="F410" s="84">
        <f t="shared" si="132"/>
        <v>0</v>
      </c>
      <c r="G410" s="84"/>
      <c r="H410" s="84"/>
      <c r="I410" s="84">
        <f t="shared" si="134"/>
        <v>0</v>
      </c>
      <c r="J410" s="84"/>
      <c r="K410" s="84"/>
      <c r="L410" s="84">
        <f t="shared" si="135"/>
        <v>0</v>
      </c>
      <c r="M410" s="84"/>
      <c r="N410" s="84"/>
      <c r="O410" s="84">
        <f t="shared" si="133"/>
        <v>0</v>
      </c>
      <c r="P410" s="55"/>
      <c r="Q410" s="53">
        <f t="shared" si="136"/>
        <v>0</v>
      </c>
    </row>
    <row r="411" spans="1:17" ht="12.75">
      <c r="A411" s="9" t="s">
        <v>283</v>
      </c>
      <c r="B411" s="114" t="s">
        <v>350</v>
      </c>
      <c r="C411" s="84"/>
      <c r="D411" s="84"/>
      <c r="E411" s="84">
        <v>489.4</v>
      </c>
      <c r="F411" s="84">
        <f t="shared" si="132"/>
        <v>489.4</v>
      </c>
      <c r="G411" s="84"/>
      <c r="H411" s="84"/>
      <c r="I411" s="84">
        <f t="shared" si="134"/>
        <v>489.4</v>
      </c>
      <c r="J411" s="84"/>
      <c r="K411" s="84"/>
      <c r="L411" s="84">
        <f t="shared" si="135"/>
        <v>489.4</v>
      </c>
      <c r="M411" s="84"/>
      <c r="N411" s="84"/>
      <c r="O411" s="84">
        <f t="shared" si="133"/>
        <v>489.4</v>
      </c>
      <c r="P411" s="55"/>
      <c r="Q411" s="53">
        <f t="shared" si="136"/>
        <v>489.4</v>
      </c>
    </row>
    <row r="412" spans="1:17" ht="12.75">
      <c r="A412" s="9" t="s">
        <v>337</v>
      </c>
      <c r="B412" s="101"/>
      <c r="C412" s="84"/>
      <c r="D412" s="84"/>
      <c r="E412" s="84"/>
      <c r="F412" s="84"/>
      <c r="G412" s="84"/>
      <c r="H412" s="84"/>
      <c r="I412" s="84">
        <f t="shared" si="134"/>
        <v>0</v>
      </c>
      <c r="J412" s="84">
        <v>332.4</v>
      </c>
      <c r="K412" s="84"/>
      <c r="L412" s="84">
        <f t="shared" si="135"/>
        <v>332.4</v>
      </c>
      <c r="M412" s="84">
        <v>373.2</v>
      </c>
      <c r="N412" s="84"/>
      <c r="O412" s="84">
        <f t="shared" si="133"/>
        <v>705.5999999999999</v>
      </c>
      <c r="P412" s="55"/>
      <c r="Q412" s="53"/>
    </row>
    <row r="413" spans="1:17" ht="12.75">
      <c r="A413" s="20" t="s">
        <v>315</v>
      </c>
      <c r="B413" s="101">
        <v>4702</v>
      </c>
      <c r="C413" s="84"/>
      <c r="D413" s="84"/>
      <c r="E413" s="84"/>
      <c r="F413" s="84">
        <f t="shared" si="132"/>
        <v>0</v>
      </c>
      <c r="G413" s="84">
        <v>2456.5</v>
      </c>
      <c r="H413" s="84"/>
      <c r="I413" s="84">
        <f t="shared" si="134"/>
        <v>2456.5</v>
      </c>
      <c r="J413" s="84"/>
      <c r="K413" s="84"/>
      <c r="L413" s="84">
        <f t="shared" si="135"/>
        <v>2456.5</v>
      </c>
      <c r="M413" s="84"/>
      <c r="N413" s="84"/>
      <c r="O413" s="84">
        <f t="shared" si="133"/>
        <v>2456.5</v>
      </c>
      <c r="P413" s="55"/>
      <c r="Q413" s="53">
        <f t="shared" si="136"/>
        <v>2456.5</v>
      </c>
    </row>
    <row r="414" spans="1:17" ht="12.75">
      <c r="A414" s="20" t="s">
        <v>338</v>
      </c>
      <c r="B414" s="101">
        <v>3400</v>
      </c>
      <c r="C414" s="84"/>
      <c r="D414" s="84"/>
      <c r="E414" s="84"/>
      <c r="F414" s="84"/>
      <c r="G414" s="84"/>
      <c r="H414" s="84"/>
      <c r="I414" s="84">
        <f t="shared" si="134"/>
        <v>0</v>
      </c>
      <c r="J414" s="84">
        <f>1264.7+1452.5</f>
        <v>2717.2</v>
      </c>
      <c r="K414" s="84"/>
      <c r="L414" s="84">
        <f t="shared" si="135"/>
        <v>2717.2</v>
      </c>
      <c r="M414" s="84"/>
      <c r="N414" s="84"/>
      <c r="O414" s="84">
        <f t="shared" si="133"/>
        <v>2717.2</v>
      </c>
      <c r="P414" s="55"/>
      <c r="Q414" s="53"/>
    </row>
    <row r="415" spans="1:17" ht="12.75">
      <c r="A415" s="11" t="s">
        <v>316</v>
      </c>
      <c r="B415" s="100">
        <v>4600</v>
      </c>
      <c r="C415" s="84"/>
      <c r="D415" s="84"/>
      <c r="E415" s="84"/>
      <c r="F415" s="84">
        <f t="shared" si="132"/>
        <v>0</v>
      </c>
      <c r="G415" s="84">
        <v>10065.4</v>
      </c>
      <c r="H415" s="84"/>
      <c r="I415" s="84">
        <f t="shared" si="134"/>
        <v>10065.4</v>
      </c>
      <c r="J415" s="84"/>
      <c r="K415" s="84"/>
      <c r="L415" s="84">
        <f t="shared" si="135"/>
        <v>10065.4</v>
      </c>
      <c r="M415" s="84"/>
      <c r="N415" s="84"/>
      <c r="O415" s="84">
        <f t="shared" si="133"/>
        <v>10065.4</v>
      </c>
      <c r="P415" s="55"/>
      <c r="Q415" s="53">
        <f t="shared" si="136"/>
        <v>10065.4</v>
      </c>
    </row>
    <row r="416" spans="1:17" ht="12.75">
      <c r="A416" s="11" t="s">
        <v>281</v>
      </c>
      <c r="B416" s="100">
        <v>4602</v>
      </c>
      <c r="C416" s="84"/>
      <c r="D416" s="84"/>
      <c r="E416" s="84">
        <v>12311.9</v>
      </c>
      <c r="F416" s="84">
        <f t="shared" si="132"/>
        <v>12311.9</v>
      </c>
      <c r="G416" s="84"/>
      <c r="H416" s="84"/>
      <c r="I416" s="84">
        <f t="shared" si="134"/>
        <v>12311.9</v>
      </c>
      <c r="J416" s="84"/>
      <c r="K416" s="84"/>
      <c r="L416" s="84">
        <f t="shared" si="135"/>
        <v>12311.9</v>
      </c>
      <c r="M416" s="84"/>
      <c r="N416" s="84"/>
      <c r="O416" s="84">
        <f t="shared" si="133"/>
        <v>12311.9</v>
      </c>
      <c r="P416" s="55"/>
      <c r="Q416" s="53">
        <f t="shared" si="136"/>
        <v>12311.9</v>
      </c>
    </row>
    <row r="417" spans="1:17" ht="12.75">
      <c r="A417" s="11" t="s">
        <v>335</v>
      </c>
      <c r="B417" s="100"/>
      <c r="C417" s="84"/>
      <c r="D417" s="84"/>
      <c r="E417" s="84"/>
      <c r="F417" s="84"/>
      <c r="G417" s="84"/>
      <c r="H417" s="84"/>
      <c r="I417" s="84">
        <f t="shared" si="134"/>
        <v>0</v>
      </c>
      <c r="J417" s="84">
        <f>1434.8+11187.6+33000</f>
        <v>45622.4</v>
      </c>
      <c r="K417" s="84"/>
      <c r="L417" s="84">
        <f t="shared" si="135"/>
        <v>45622.4</v>
      </c>
      <c r="M417" s="84"/>
      <c r="N417" s="84"/>
      <c r="O417" s="84">
        <f t="shared" si="133"/>
        <v>45622.4</v>
      </c>
      <c r="P417" s="55"/>
      <c r="Q417" s="53"/>
    </row>
    <row r="418" spans="1:17" ht="12.75">
      <c r="A418" s="20" t="s">
        <v>282</v>
      </c>
      <c r="B418" s="101">
        <v>5303</v>
      </c>
      <c r="C418" s="84"/>
      <c r="D418" s="84"/>
      <c r="E418" s="84">
        <v>4493.2</v>
      </c>
      <c r="F418" s="84">
        <f t="shared" si="132"/>
        <v>4493.2</v>
      </c>
      <c r="G418" s="84"/>
      <c r="H418" s="84"/>
      <c r="I418" s="84">
        <f t="shared" si="134"/>
        <v>4493.2</v>
      </c>
      <c r="J418" s="84"/>
      <c r="K418" s="84"/>
      <c r="L418" s="84">
        <f t="shared" si="135"/>
        <v>4493.2</v>
      </c>
      <c r="M418" s="84"/>
      <c r="N418" s="84"/>
      <c r="O418" s="84">
        <f t="shared" si="133"/>
        <v>4493.2</v>
      </c>
      <c r="P418" s="55"/>
      <c r="Q418" s="53">
        <f t="shared" si="136"/>
        <v>4493.2</v>
      </c>
    </row>
    <row r="419" spans="1:17" ht="12.75">
      <c r="A419" s="20" t="s">
        <v>336</v>
      </c>
      <c r="B419" s="101"/>
      <c r="C419" s="84"/>
      <c r="D419" s="84"/>
      <c r="E419" s="84"/>
      <c r="F419" s="84"/>
      <c r="G419" s="84"/>
      <c r="H419" s="84"/>
      <c r="I419" s="84">
        <f t="shared" si="134"/>
        <v>0</v>
      </c>
      <c r="J419" s="84">
        <f>389+4120.9+12000</f>
        <v>16509.9</v>
      </c>
      <c r="K419" s="84"/>
      <c r="L419" s="84">
        <f t="shared" si="135"/>
        <v>16509.9</v>
      </c>
      <c r="M419" s="84"/>
      <c r="N419" s="84"/>
      <c r="O419" s="84">
        <f t="shared" si="133"/>
        <v>16509.9</v>
      </c>
      <c r="P419" s="55"/>
      <c r="Q419" s="53"/>
    </row>
    <row r="420" spans="1:17" ht="12.75">
      <c r="A420" s="20" t="s">
        <v>317</v>
      </c>
      <c r="B420" s="101">
        <v>5302</v>
      </c>
      <c r="C420" s="84"/>
      <c r="D420" s="84"/>
      <c r="E420" s="84"/>
      <c r="F420" s="84">
        <f t="shared" si="132"/>
        <v>0</v>
      </c>
      <c r="G420" s="84">
        <v>2550.4</v>
      </c>
      <c r="H420" s="84"/>
      <c r="I420" s="84">
        <f t="shared" si="134"/>
        <v>2550.4</v>
      </c>
      <c r="J420" s="84"/>
      <c r="K420" s="84"/>
      <c r="L420" s="84">
        <f t="shared" si="135"/>
        <v>2550.4</v>
      </c>
      <c r="M420" s="84"/>
      <c r="N420" s="84"/>
      <c r="O420" s="84">
        <f aca="true" t="shared" si="137" ref="O420:O428">L420+M420+N420</f>
        <v>2550.4</v>
      </c>
      <c r="P420" s="55"/>
      <c r="Q420" s="53">
        <f t="shared" si="136"/>
        <v>2550.4</v>
      </c>
    </row>
    <row r="421" spans="1:17" ht="12.75" hidden="1">
      <c r="A421" s="20" t="s">
        <v>207</v>
      </c>
      <c r="B421" s="115"/>
      <c r="C421" s="84"/>
      <c r="D421" s="84"/>
      <c r="E421" s="84"/>
      <c r="F421" s="84">
        <f t="shared" si="132"/>
        <v>0</v>
      </c>
      <c r="G421" s="84"/>
      <c r="H421" s="84"/>
      <c r="I421" s="84">
        <f t="shared" si="134"/>
        <v>0</v>
      </c>
      <c r="J421" s="84"/>
      <c r="K421" s="84"/>
      <c r="L421" s="84">
        <f t="shared" si="135"/>
        <v>0</v>
      </c>
      <c r="M421" s="84"/>
      <c r="N421" s="84"/>
      <c r="O421" s="84">
        <f t="shared" si="137"/>
        <v>0</v>
      </c>
      <c r="P421" s="55"/>
      <c r="Q421" s="53">
        <f t="shared" si="136"/>
        <v>0</v>
      </c>
    </row>
    <row r="422" spans="1:17" ht="12.75">
      <c r="A422" s="20" t="s">
        <v>309</v>
      </c>
      <c r="B422" s="116" t="s">
        <v>352</v>
      </c>
      <c r="C422" s="84"/>
      <c r="D422" s="84"/>
      <c r="E422" s="84"/>
      <c r="F422" s="84">
        <f t="shared" si="132"/>
        <v>0</v>
      </c>
      <c r="G422" s="84">
        <v>262</v>
      </c>
      <c r="H422" s="84"/>
      <c r="I422" s="84">
        <f t="shared" si="134"/>
        <v>262</v>
      </c>
      <c r="J422" s="84"/>
      <c r="K422" s="84"/>
      <c r="L422" s="84">
        <f t="shared" si="135"/>
        <v>262</v>
      </c>
      <c r="M422" s="84"/>
      <c r="N422" s="84"/>
      <c r="O422" s="84">
        <f t="shared" si="137"/>
        <v>262</v>
      </c>
      <c r="P422" s="55"/>
      <c r="Q422" s="53">
        <f t="shared" si="136"/>
        <v>262</v>
      </c>
    </row>
    <row r="423" spans="1:17" ht="12.75" hidden="1">
      <c r="A423" s="20" t="s">
        <v>202</v>
      </c>
      <c r="B423" s="115"/>
      <c r="C423" s="84"/>
      <c r="D423" s="84"/>
      <c r="E423" s="84"/>
      <c r="F423" s="84">
        <f t="shared" si="132"/>
        <v>0</v>
      </c>
      <c r="G423" s="84"/>
      <c r="H423" s="84"/>
      <c r="I423" s="84">
        <f t="shared" si="134"/>
        <v>0</v>
      </c>
      <c r="J423" s="84"/>
      <c r="K423" s="84"/>
      <c r="L423" s="84">
        <f t="shared" si="135"/>
        <v>0</v>
      </c>
      <c r="M423" s="84"/>
      <c r="N423" s="84"/>
      <c r="O423" s="84">
        <f t="shared" si="137"/>
        <v>0</v>
      </c>
      <c r="P423" s="55"/>
      <c r="Q423" s="53">
        <f t="shared" si="136"/>
        <v>0</v>
      </c>
    </row>
    <row r="424" spans="1:17" ht="12.75">
      <c r="A424" s="11" t="s">
        <v>138</v>
      </c>
      <c r="B424" s="96">
        <v>13307</v>
      </c>
      <c r="C424" s="84"/>
      <c r="D424" s="84"/>
      <c r="E424" s="84"/>
      <c r="F424" s="84">
        <f t="shared" si="132"/>
        <v>0</v>
      </c>
      <c r="G424" s="84">
        <f>3662.5+648.4</f>
        <v>4310.9</v>
      </c>
      <c r="H424" s="84"/>
      <c r="I424" s="84">
        <f t="shared" si="134"/>
        <v>4310.9</v>
      </c>
      <c r="J424" s="84"/>
      <c r="K424" s="84"/>
      <c r="L424" s="84">
        <f t="shared" si="135"/>
        <v>4310.9</v>
      </c>
      <c r="M424" s="84">
        <v>3500</v>
      </c>
      <c r="N424" s="84"/>
      <c r="O424" s="84">
        <f t="shared" si="137"/>
        <v>7810.9</v>
      </c>
      <c r="P424" s="55"/>
      <c r="Q424" s="53">
        <f t="shared" si="136"/>
        <v>7810.9</v>
      </c>
    </row>
    <row r="425" spans="1:17" ht="12.75">
      <c r="A425" s="11" t="s">
        <v>214</v>
      </c>
      <c r="B425" s="96">
        <v>14005</v>
      </c>
      <c r="C425" s="84"/>
      <c r="D425" s="84"/>
      <c r="E425" s="84"/>
      <c r="F425" s="84">
        <f t="shared" si="132"/>
        <v>0</v>
      </c>
      <c r="G425" s="84"/>
      <c r="H425" s="84"/>
      <c r="I425" s="84">
        <f t="shared" si="134"/>
        <v>0</v>
      </c>
      <c r="J425" s="84">
        <f>448+131</f>
        <v>579</v>
      </c>
      <c r="K425" s="84"/>
      <c r="L425" s="84">
        <f t="shared" si="135"/>
        <v>579</v>
      </c>
      <c r="M425" s="84"/>
      <c r="N425" s="84"/>
      <c r="O425" s="84">
        <f t="shared" si="137"/>
        <v>579</v>
      </c>
      <c r="P425" s="55"/>
      <c r="Q425" s="53">
        <f t="shared" si="136"/>
        <v>579</v>
      </c>
    </row>
    <row r="426" spans="1:17" ht="12.75">
      <c r="A426" s="21" t="s">
        <v>354</v>
      </c>
      <c r="B426" s="117" t="s">
        <v>351</v>
      </c>
      <c r="C426" s="88"/>
      <c r="D426" s="88"/>
      <c r="E426" s="88"/>
      <c r="F426" s="88">
        <f t="shared" si="132"/>
        <v>0</v>
      </c>
      <c r="G426" s="88"/>
      <c r="H426" s="88"/>
      <c r="I426" s="88">
        <f t="shared" si="134"/>
        <v>0</v>
      </c>
      <c r="J426" s="88">
        <v>92</v>
      </c>
      <c r="K426" s="88"/>
      <c r="L426" s="88">
        <f t="shared" si="135"/>
        <v>92</v>
      </c>
      <c r="M426" s="88"/>
      <c r="N426" s="88"/>
      <c r="O426" s="88">
        <f t="shared" si="137"/>
        <v>92</v>
      </c>
      <c r="P426" s="55"/>
      <c r="Q426" s="53">
        <f t="shared" si="136"/>
        <v>92</v>
      </c>
    </row>
    <row r="427" spans="1:17" ht="12.75" hidden="1">
      <c r="A427" s="11" t="s">
        <v>103</v>
      </c>
      <c r="B427" s="11"/>
      <c r="C427" s="84"/>
      <c r="D427" s="84"/>
      <c r="E427" s="84"/>
      <c r="F427" s="84">
        <f t="shared" si="132"/>
        <v>0</v>
      </c>
      <c r="G427" s="84"/>
      <c r="H427" s="84"/>
      <c r="I427" s="84">
        <f t="shared" si="134"/>
        <v>0</v>
      </c>
      <c r="J427" s="84">
        <f>11000+4000-11000-4000</f>
        <v>0</v>
      </c>
      <c r="K427" s="84"/>
      <c r="L427" s="84">
        <f t="shared" si="135"/>
        <v>0</v>
      </c>
      <c r="M427" s="84"/>
      <c r="N427" s="84"/>
      <c r="O427" s="84">
        <f t="shared" si="137"/>
        <v>0</v>
      </c>
      <c r="P427" s="55"/>
      <c r="Q427" s="53">
        <f t="shared" si="136"/>
        <v>0</v>
      </c>
    </row>
    <row r="428" spans="1:17" ht="12.75" hidden="1">
      <c r="A428" s="11" t="s">
        <v>89</v>
      </c>
      <c r="B428" s="11"/>
      <c r="C428" s="84"/>
      <c r="D428" s="84"/>
      <c r="E428" s="84"/>
      <c r="F428" s="84">
        <f t="shared" si="132"/>
        <v>0</v>
      </c>
      <c r="G428" s="84"/>
      <c r="H428" s="84"/>
      <c r="I428" s="84">
        <f t="shared" si="134"/>
        <v>0</v>
      </c>
      <c r="J428" s="84"/>
      <c r="K428" s="84"/>
      <c r="L428" s="84">
        <f t="shared" si="135"/>
        <v>0</v>
      </c>
      <c r="M428" s="84"/>
      <c r="N428" s="84"/>
      <c r="O428" s="84">
        <f t="shared" si="137"/>
        <v>0</v>
      </c>
      <c r="P428" s="55"/>
      <c r="Q428" s="53">
        <f t="shared" si="136"/>
        <v>0</v>
      </c>
    </row>
    <row r="429" spans="1:17" ht="12.75" hidden="1">
      <c r="A429" s="17" t="s">
        <v>75</v>
      </c>
      <c r="B429" s="17"/>
      <c r="C429" s="87">
        <f aca="true" t="shared" si="138" ref="C429:Q429">SUM(C431:C434)</f>
        <v>0</v>
      </c>
      <c r="D429" s="87">
        <f t="shared" si="138"/>
        <v>0</v>
      </c>
      <c r="E429" s="87"/>
      <c r="F429" s="87">
        <f t="shared" si="138"/>
        <v>0</v>
      </c>
      <c r="G429" s="87">
        <f t="shared" si="138"/>
        <v>0</v>
      </c>
      <c r="H429" s="87">
        <f t="shared" si="138"/>
        <v>0</v>
      </c>
      <c r="I429" s="87">
        <f t="shared" si="138"/>
        <v>0</v>
      </c>
      <c r="J429" s="87"/>
      <c r="K429" s="87"/>
      <c r="L429" s="87">
        <f t="shared" si="138"/>
        <v>0</v>
      </c>
      <c r="M429" s="87">
        <f t="shared" si="138"/>
        <v>0</v>
      </c>
      <c r="N429" s="87">
        <f t="shared" si="138"/>
        <v>0</v>
      </c>
      <c r="O429" s="87">
        <f t="shared" si="138"/>
        <v>0</v>
      </c>
      <c r="P429" s="60"/>
      <c r="Q429" s="39">
        <f t="shared" si="138"/>
        <v>0</v>
      </c>
    </row>
    <row r="430" spans="1:17" ht="12.75" hidden="1">
      <c r="A430" s="13" t="s">
        <v>38</v>
      </c>
      <c r="B430" s="13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55"/>
      <c r="Q430" s="53"/>
    </row>
    <row r="431" spans="1:17" ht="12.75" hidden="1">
      <c r="A431" s="11" t="s">
        <v>129</v>
      </c>
      <c r="B431" s="11"/>
      <c r="C431" s="84"/>
      <c r="D431" s="84"/>
      <c r="E431" s="84"/>
      <c r="F431" s="84">
        <f>C431+D431+E431</f>
        <v>0</v>
      </c>
      <c r="G431" s="84"/>
      <c r="H431" s="84"/>
      <c r="I431" s="84">
        <f>F431+G431+H431</f>
        <v>0</v>
      </c>
      <c r="J431" s="84"/>
      <c r="K431" s="84"/>
      <c r="L431" s="84">
        <f>I431+J431+K431</f>
        <v>0</v>
      </c>
      <c r="M431" s="84"/>
      <c r="N431" s="84"/>
      <c r="O431" s="84">
        <f>L431+M431+N431</f>
        <v>0</v>
      </c>
      <c r="P431" s="55"/>
      <c r="Q431" s="53">
        <f>O431+P431</f>
        <v>0</v>
      </c>
    </row>
    <row r="432" spans="1:17" ht="12.75" hidden="1">
      <c r="A432" s="11" t="s">
        <v>76</v>
      </c>
      <c r="B432" s="11"/>
      <c r="C432" s="84"/>
      <c r="D432" s="84"/>
      <c r="E432" s="84"/>
      <c r="F432" s="84">
        <f>C432+D432+E432</f>
        <v>0</v>
      </c>
      <c r="G432" s="84"/>
      <c r="H432" s="84"/>
      <c r="I432" s="84"/>
      <c r="J432" s="84"/>
      <c r="K432" s="84"/>
      <c r="L432" s="84">
        <f>I432+J432+K432</f>
        <v>0</v>
      </c>
      <c r="M432" s="84"/>
      <c r="N432" s="84"/>
      <c r="O432" s="84">
        <f>L432+M432+N432</f>
        <v>0</v>
      </c>
      <c r="P432" s="55"/>
      <c r="Q432" s="53">
        <f>O432+P432</f>
        <v>0</v>
      </c>
    </row>
    <row r="433" spans="1:17" ht="12.75" hidden="1">
      <c r="A433" s="11" t="s">
        <v>103</v>
      </c>
      <c r="B433" s="11"/>
      <c r="C433" s="84"/>
      <c r="D433" s="84"/>
      <c r="E433" s="84"/>
      <c r="F433" s="84">
        <f>C433+D433+E433</f>
        <v>0</v>
      </c>
      <c r="G433" s="84"/>
      <c r="H433" s="84"/>
      <c r="I433" s="84">
        <f>F433+G433+H433</f>
        <v>0</v>
      </c>
      <c r="J433" s="84"/>
      <c r="K433" s="84"/>
      <c r="L433" s="84">
        <f>I433+J433+K433</f>
        <v>0</v>
      </c>
      <c r="M433" s="84"/>
      <c r="N433" s="84"/>
      <c r="O433" s="84">
        <f>L433+M433+N433</f>
        <v>0</v>
      </c>
      <c r="P433" s="55"/>
      <c r="Q433" s="53">
        <f>O433+P433</f>
        <v>0</v>
      </c>
    </row>
    <row r="434" spans="1:17" ht="12.75" hidden="1">
      <c r="A434" s="14" t="s">
        <v>237</v>
      </c>
      <c r="B434" s="14"/>
      <c r="C434" s="88"/>
      <c r="D434" s="88"/>
      <c r="E434" s="88"/>
      <c r="F434" s="88">
        <f>C434+D434+E434</f>
        <v>0</v>
      </c>
      <c r="G434" s="88"/>
      <c r="H434" s="88"/>
      <c r="I434" s="88">
        <f>F434+G434+H434</f>
        <v>0</v>
      </c>
      <c r="J434" s="88"/>
      <c r="K434" s="88"/>
      <c r="L434" s="88">
        <f>I434+J434+K434</f>
        <v>0</v>
      </c>
      <c r="M434" s="88"/>
      <c r="N434" s="88"/>
      <c r="O434" s="88">
        <f>L434+M434+N434</f>
        <v>0</v>
      </c>
      <c r="P434" s="68"/>
      <c r="Q434" s="69">
        <f>O434+P434</f>
        <v>0</v>
      </c>
    </row>
    <row r="435" spans="1:17" ht="12.75">
      <c r="A435" s="12" t="s">
        <v>139</v>
      </c>
      <c r="B435" s="12"/>
      <c r="C435" s="83">
        <f aca="true" t="shared" si="139" ref="C435:I435">C436+C449</f>
        <v>19867</v>
      </c>
      <c r="D435" s="83">
        <f t="shared" si="139"/>
        <v>35633</v>
      </c>
      <c r="E435" s="83">
        <f t="shared" si="139"/>
        <v>143.1</v>
      </c>
      <c r="F435" s="83">
        <f t="shared" si="139"/>
        <v>55643.1</v>
      </c>
      <c r="G435" s="83">
        <f t="shared" si="139"/>
        <v>9003</v>
      </c>
      <c r="H435" s="83">
        <f t="shared" si="139"/>
        <v>0</v>
      </c>
      <c r="I435" s="83">
        <f t="shared" si="139"/>
        <v>64646.1</v>
      </c>
      <c r="J435" s="83">
        <f aca="true" t="shared" si="140" ref="J435:O435">J436+J449</f>
        <v>2255.2</v>
      </c>
      <c r="K435" s="83">
        <f t="shared" si="140"/>
        <v>1000</v>
      </c>
      <c r="L435" s="83">
        <f t="shared" si="140"/>
        <v>67901.29999999999</v>
      </c>
      <c r="M435" s="83">
        <f t="shared" si="140"/>
        <v>1732.1</v>
      </c>
      <c r="N435" s="83">
        <f t="shared" si="140"/>
        <v>0</v>
      </c>
      <c r="O435" s="83">
        <f t="shared" si="140"/>
        <v>69633.4</v>
      </c>
      <c r="P435" s="56"/>
      <c r="Q435" s="38">
        <f>Q436+Q449</f>
        <v>23333.4</v>
      </c>
    </row>
    <row r="436" spans="1:17" ht="12.75">
      <c r="A436" s="17" t="s">
        <v>69</v>
      </c>
      <c r="B436" s="17"/>
      <c r="C436" s="87">
        <f aca="true" t="shared" si="141" ref="C436:I436">SUM(C438:C448)-C447</f>
        <v>15336.6</v>
      </c>
      <c r="D436" s="87">
        <f t="shared" si="141"/>
        <v>40163.4</v>
      </c>
      <c r="E436" s="87">
        <f t="shared" si="141"/>
        <v>143.1</v>
      </c>
      <c r="F436" s="87">
        <f t="shared" si="141"/>
        <v>55643.1</v>
      </c>
      <c r="G436" s="87">
        <f t="shared" si="141"/>
        <v>7003</v>
      </c>
      <c r="H436" s="87">
        <f t="shared" si="141"/>
        <v>-300</v>
      </c>
      <c r="I436" s="87">
        <f t="shared" si="141"/>
        <v>62346.1</v>
      </c>
      <c r="J436" s="87">
        <f aca="true" t="shared" si="142" ref="J436:O436">SUM(J438:J448)-J447</f>
        <v>805.2</v>
      </c>
      <c r="K436" s="87">
        <f t="shared" si="142"/>
        <v>1000</v>
      </c>
      <c r="L436" s="87">
        <f t="shared" si="142"/>
        <v>64151.299999999996</v>
      </c>
      <c r="M436" s="87">
        <f t="shared" si="142"/>
        <v>1732.1</v>
      </c>
      <c r="N436" s="87">
        <f t="shared" si="142"/>
        <v>0</v>
      </c>
      <c r="O436" s="87">
        <f t="shared" si="142"/>
        <v>65883.4</v>
      </c>
      <c r="P436" s="60"/>
      <c r="Q436" s="39">
        <f>SUM(Q438:Q448)-Q447</f>
        <v>20883.4</v>
      </c>
    </row>
    <row r="437" spans="1:17" ht="12.75">
      <c r="A437" s="13" t="s">
        <v>38</v>
      </c>
      <c r="B437" s="13"/>
      <c r="C437" s="84"/>
      <c r="D437" s="84"/>
      <c r="E437" s="84"/>
      <c r="F437" s="83"/>
      <c r="G437" s="84"/>
      <c r="H437" s="84"/>
      <c r="I437" s="83"/>
      <c r="J437" s="84"/>
      <c r="K437" s="84"/>
      <c r="L437" s="83"/>
      <c r="M437" s="84"/>
      <c r="N437" s="84"/>
      <c r="O437" s="83"/>
      <c r="P437" s="55"/>
      <c r="Q437" s="53"/>
    </row>
    <row r="438" spans="1:17" ht="12.75" customHeight="1">
      <c r="A438" s="11" t="s">
        <v>72</v>
      </c>
      <c r="B438" s="11"/>
      <c r="C438" s="84">
        <v>10500</v>
      </c>
      <c r="D438" s="84"/>
      <c r="E438" s="84"/>
      <c r="F438" s="84">
        <f>C438+D438+E438</f>
        <v>10500</v>
      </c>
      <c r="G438" s="84">
        <f>1500+500</f>
        <v>2000</v>
      </c>
      <c r="H438" s="84">
        <v>-300</v>
      </c>
      <c r="I438" s="84">
        <f aca="true" t="shared" si="143" ref="I438:I448">F438+G438+H438</f>
        <v>12200</v>
      </c>
      <c r="J438" s="84">
        <f>1000-444.8-500+150</f>
        <v>205.20000000000005</v>
      </c>
      <c r="K438" s="84"/>
      <c r="L438" s="84">
        <f>I438+J438+K438</f>
        <v>12405.2</v>
      </c>
      <c r="M438" s="84">
        <f>-1140+2250+105.1</f>
        <v>1215.1</v>
      </c>
      <c r="N438" s="84"/>
      <c r="O438" s="84">
        <f>L438+M438+N438</f>
        <v>13620.300000000001</v>
      </c>
      <c r="P438" s="55"/>
      <c r="Q438" s="53">
        <f>O438+P438</f>
        <v>13620.300000000001</v>
      </c>
    </row>
    <row r="439" spans="1:17" ht="12.75" hidden="1">
      <c r="A439" s="11" t="s">
        <v>140</v>
      </c>
      <c r="B439" s="11"/>
      <c r="C439" s="84"/>
      <c r="D439" s="84"/>
      <c r="E439" s="84"/>
      <c r="F439" s="84">
        <f aca="true" t="shared" si="144" ref="F439:F448">C439+D439+E439</f>
        <v>0</v>
      </c>
      <c r="G439" s="84"/>
      <c r="H439" s="84"/>
      <c r="I439" s="84">
        <f t="shared" si="143"/>
        <v>0</v>
      </c>
      <c r="J439" s="84"/>
      <c r="K439" s="84"/>
      <c r="L439" s="84">
        <f>I439+J439+K439</f>
        <v>0</v>
      </c>
      <c r="M439" s="84"/>
      <c r="N439" s="84"/>
      <c r="O439" s="84">
        <f aca="true" t="shared" si="145" ref="O439:O448">L439+M439+N439</f>
        <v>0</v>
      </c>
      <c r="P439" s="55"/>
      <c r="Q439" s="53">
        <f>O439+P439</f>
        <v>0</v>
      </c>
    </row>
    <row r="440" spans="1:17" ht="12.75" hidden="1">
      <c r="A440" s="11" t="s">
        <v>141</v>
      </c>
      <c r="B440" s="11"/>
      <c r="C440" s="84"/>
      <c r="D440" s="84"/>
      <c r="E440" s="84"/>
      <c r="F440" s="84">
        <f t="shared" si="144"/>
        <v>0</v>
      </c>
      <c r="G440" s="84"/>
      <c r="H440" s="84"/>
      <c r="I440" s="84">
        <f t="shared" si="143"/>
        <v>0</v>
      </c>
      <c r="J440" s="84"/>
      <c r="K440" s="84"/>
      <c r="L440" s="84">
        <f>I440+J440+K440</f>
        <v>0</v>
      </c>
      <c r="M440" s="84"/>
      <c r="N440" s="84"/>
      <c r="O440" s="84">
        <f t="shared" si="145"/>
        <v>0</v>
      </c>
      <c r="P440" s="55"/>
      <c r="Q440" s="53">
        <f>O440+P440</f>
        <v>0</v>
      </c>
    </row>
    <row r="441" spans="1:17" ht="12.75">
      <c r="A441" s="15" t="s">
        <v>263</v>
      </c>
      <c r="B441" s="15"/>
      <c r="C441" s="84"/>
      <c r="D441" s="84">
        <v>45000</v>
      </c>
      <c r="E441" s="84"/>
      <c r="F441" s="84">
        <f>C441+D441+E441</f>
        <v>45000</v>
      </c>
      <c r="G441" s="84"/>
      <c r="H441" s="84"/>
      <c r="I441" s="84">
        <f t="shared" si="143"/>
        <v>45000</v>
      </c>
      <c r="J441" s="84"/>
      <c r="K441" s="84"/>
      <c r="L441" s="84">
        <f>I441+J441+K441</f>
        <v>45000</v>
      </c>
      <c r="M441" s="84"/>
      <c r="N441" s="84"/>
      <c r="O441" s="84">
        <f t="shared" si="145"/>
        <v>45000</v>
      </c>
      <c r="P441" s="55"/>
      <c r="Q441" s="53"/>
    </row>
    <row r="442" spans="1:17" ht="12.75">
      <c r="A442" s="15" t="s">
        <v>268</v>
      </c>
      <c r="B442" s="15"/>
      <c r="C442" s="84">
        <v>4836.6</v>
      </c>
      <c r="D442" s="84">
        <v>-4836.6</v>
      </c>
      <c r="E442" s="84"/>
      <c r="F442" s="84">
        <f t="shared" si="144"/>
        <v>0</v>
      </c>
      <c r="G442" s="84"/>
      <c r="H442" s="84"/>
      <c r="I442" s="84">
        <f t="shared" si="143"/>
        <v>0</v>
      </c>
      <c r="J442" s="84"/>
      <c r="K442" s="84"/>
      <c r="L442" s="84">
        <f>I442+J442+K442</f>
        <v>0</v>
      </c>
      <c r="M442" s="84"/>
      <c r="N442" s="84"/>
      <c r="O442" s="84">
        <f t="shared" si="145"/>
        <v>0</v>
      </c>
      <c r="P442" s="55"/>
      <c r="Q442" s="53"/>
    </row>
    <row r="443" spans="1:17" ht="12.75">
      <c r="A443" s="11" t="s">
        <v>103</v>
      </c>
      <c r="B443" s="11"/>
      <c r="C443" s="84"/>
      <c r="D443" s="84"/>
      <c r="E443" s="84">
        <f>137.2+5.9</f>
        <v>143.1</v>
      </c>
      <c r="F443" s="84">
        <f t="shared" si="144"/>
        <v>143.1</v>
      </c>
      <c r="G443" s="84"/>
      <c r="H443" s="84"/>
      <c r="I443" s="84">
        <f t="shared" si="143"/>
        <v>143.1</v>
      </c>
      <c r="J443" s="84"/>
      <c r="K443" s="84"/>
      <c r="L443" s="84">
        <f aca="true" t="shared" si="146" ref="L443:L448">I443+J443+K443</f>
        <v>143.1</v>
      </c>
      <c r="M443" s="84"/>
      <c r="N443" s="84"/>
      <c r="O443" s="84">
        <f t="shared" si="145"/>
        <v>143.1</v>
      </c>
      <c r="P443" s="55"/>
      <c r="Q443" s="53">
        <f aca="true" t="shared" si="147" ref="Q443:Q448">O443+P443</f>
        <v>143.1</v>
      </c>
    </row>
    <row r="444" spans="1:17" ht="12.75">
      <c r="A444" s="11" t="s">
        <v>87</v>
      </c>
      <c r="B444" s="11"/>
      <c r="C444" s="84"/>
      <c r="D444" s="84"/>
      <c r="E444" s="84"/>
      <c r="F444" s="84">
        <f t="shared" si="144"/>
        <v>0</v>
      </c>
      <c r="G444" s="84"/>
      <c r="H444" s="84"/>
      <c r="I444" s="84">
        <f t="shared" si="143"/>
        <v>0</v>
      </c>
      <c r="J444" s="91">
        <f>300+300</f>
        <v>600</v>
      </c>
      <c r="K444" s="84">
        <v>1000</v>
      </c>
      <c r="L444" s="84">
        <f t="shared" si="146"/>
        <v>1600</v>
      </c>
      <c r="M444" s="84"/>
      <c r="N444" s="84"/>
      <c r="O444" s="84">
        <f t="shared" si="145"/>
        <v>1600</v>
      </c>
      <c r="P444" s="55"/>
      <c r="Q444" s="53">
        <f t="shared" si="147"/>
        <v>1600</v>
      </c>
    </row>
    <row r="445" spans="1:17" ht="12.75" hidden="1">
      <c r="A445" s="11" t="s">
        <v>248</v>
      </c>
      <c r="B445" s="11"/>
      <c r="C445" s="84"/>
      <c r="D445" s="84"/>
      <c r="E445" s="84"/>
      <c r="F445" s="84">
        <f t="shared" si="144"/>
        <v>0</v>
      </c>
      <c r="G445" s="84"/>
      <c r="H445" s="84"/>
      <c r="I445" s="84">
        <f t="shared" si="143"/>
        <v>0</v>
      </c>
      <c r="J445" s="91"/>
      <c r="K445" s="84"/>
      <c r="L445" s="84">
        <f t="shared" si="146"/>
        <v>0</v>
      </c>
      <c r="M445" s="84"/>
      <c r="N445" s="84"/>
      <c r="O445" s="84">
        <f t="shared" si="145"/>
        <v>0</v>
      </c>
      <c r="P445" s="55"/>
      <c r="Q445" s="53">
        <f t="shared" si="147"/>
        <v>0</v>
      </c>
    </row>
    <row r="446" spans="1:17" ht="12.75">
      <c r="A446" s="14" t="s">
        <v>355</v>
      </c>
      <c r="B446" s="104">
        <v>14004</v>
      </c>
      <c r="C446" s="88"/>
      <c r="D446" s="88"/>
      <c r="E446" s="88"/>
      <c r="F446" s="88">
        <f t="shared" si="144"/>
        <v>0</v>
      </c>
      <c r="G446" s="88">
        <v>5003</v>
      </c>
      <c r="H446" s="88"/>
      <c r="I446" s="88">
        <f t="shared" si="143"/>
        <v>5003</v>
      </c>
      <c r="J446" s="88"/>
      <c r="K446" s="88"/>
      <c r="L446" s="88">
        <f t="shared" si="146"/>
        <v>5003</v>
      </c>
      <c r="M446" s="88">
        <v>517</v>
      </c>
      <c r="N446" s="88"/>
      <c r="O446" s="88">
        <f t="shared" si="145"/>
        <v>5520</v>
      </c>
      <c r="P446" s="55"/>
      <c r="Q446" s="53">
        <f t="shared" si="147"/>
        <v>5520</v>
      </c>
    </row>
    <row r="447" spans="1:17" ht="12.75" hidden="1">
      <c r="A447" s="11" t="s">
        <v>142</v>
      </c>
      <c r="B447" s="11"/>
      <c r="C447" s="84"/>
      <c r="D447" s="84"/>
      <c r="E447" s="84"/>
      <c r="F447" s="84">
        <f t="shared" si="144"/>
        <v>0</v>
      </c>
      <c r="G447" s="84"/>
      <c r="H447" s="84"/>
      <c r="I447" s="84">
        <f t="shared" si="143"/>
        <v>0</v>
      </c>
      <c r="J447" s="84"/>
      <c r="K447" s="84"/>
      <c r="L447" s="84">
        <f t="shared" si="146"/>
        <v>0</v>
      </c>
      <c r="M447" s="84"/>
      <c r="N447" s="84"/>
      <c r="O447" s="84">
        <f t="shared" si="145"/>
        <v>0</v>
      </c>
      <c r="P447" s="55"/>
      <c r="Q447" s="53">
        <f t="shared" si="147"/>
        <v>0</v>
      </c>
    </row>
    <row r="448" spans="1:17" ht="12.75" hidden="1">
      <c r="A448" s="11" t="s">
        <v>89</v>
      </c>
      <c r="B448" s="11"/>
      <c r="C448" s="84"/>
      <c r="D448" s="84"/>
      <c r="E448" s="84"/>
      <c r="F448" s="84">
        <f t="shared" si="144"/>
        <v>0</v>
      </c>
      <c r="G448" s="84"/>
      <c r="H448" s="84"/>
      <c r="I448" s="84">
        <f t="shared" si="143"/>
        <v>0</v>
      </c>
      <c r="J448" s="84"/>
      <c r="K448" s="84"/>
      <c r="L448" s="84">
        <f t="shared" si="146"/>
        <v>0</v>
      </c>
      <c r="M448" s="84"/>
      <c r="N448" s="84"/>
      <c r="O448" s="84">
        <f t="shared" si="145"/>
        <v>0</v>
      </c>
      <c r="P448" s="55"/>
      <c r="Q448" s="53">
        <f t="shared" si="147"/>
        <v>0</v>
      </c>
    </row>
    <row r="449" spans="1:17" ht="12.75">
      <c r="A449" s="17" t="s">
        <v>75</v>
      </c>
      <c r="B449" s="17"/>
      <c r="C449" s="87">
        <f aca="true" t="shared" si="148" ref="C449:O449">SUM(C451:C456)</f>
        <v>4530.4</v>
      </c>
      <c r="D449" s="87">
        <f t="shared" si="148"/>
        <v>-4530.4</v>
      </c>
      <c r="E449" s="87">
        <f t="shared" si="148"/>
        <v>0</v>
      </c>
      <c r="F449" s="87">
        <f t="shared" si="148"/>
        <v>0</v>
      </c>
      <c r="G449" s="87">
        <f t="shared" si="148"/>
        <v>2000</v>
      </c>
      <c r="H449" s="87">
        <f t="shared" si="148"/>
        <v>300</v>
      </c>
      <c r="I449" s="87">
        <f t="shared" si="148"/>
        <v>2300</v>
      </c>
      <c r="J449" s="87">
        <f t="shared" si="148"/>
        <v>1450</v>
      </c>
      <c r="K449" s="87">
        <f t="shared" si="148"/>
        <v>0</v>
      </c>
      <c r="L449" s="87">
        <f t="shared" si="148"/>
        <v>3750</v>
      </c>
      <c r="M449" s="87">
        <f t="shared" si="148"/>
        <v>0</v>
      </c>
      <c r="N449" s="87">
        <f t="shared" si="148"/>
        <v>0</v>
      </c>
      <c r="O449" s="87">
        <f t="shared" si="148"/>
        <v>3750</v>
      </c>
      <c r="P449" s="60"/>
      <c r="Q449" s="39">
        <f>SUM(Q451:Q456)</f>
        <v>2450</v>
      </c>
    </row>
    <row r="450" spans="1:17" ht="12.75">
      <c r="A450" s="13" t="s">
        <v>38</v>
      </c>
      <c r="B450" s="13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55"/>
      <c r="Q450" s="53"/>
    </row>
    <row r="451" spans="1:17" ht="12.75">
      <c r="A451" s="15" t="s">
        <v>322</v>
      </c>
      <c r="B451" s="15"/>
      <c r="C451" s="84"/>
      <c r="D451" s="84"/>
      <c r="E451" s="84"/>
      <c r="F451" s="84">
        <f>C451+D451+E451</f>
        <v>0</v>
      </c>
      <c r="G451" s="84">
        <v>500</v>
      </c>
      <c r="H451" s="84"/>
      <c r="I451" s="84">
        <f aca="true" t="shared" si="149" ref="I451:I456">F451+G451+H451</f>
        <v>500</v>
      </c>
      <c r="J451" s="84">
        <f>250+200</f>
        <v>450</v>
      </c>
      <c r="K451" s="84"/>
      <c r="L451" s="84">
        <f aca="true" t="shared" si="150" ref="L451:L456">I451+J451+K451</f>
        <v>950</v>
      </c>
      <c r="M451" s="84"/>
      <c r="N451" s="84"/>
      <c r="O451" s="84">
        <f aca="true" t="shared" si="151" ref="O451:O456">L451+M451+N451</f>
        <v>950</v>
      </c>
      <c r="P451" s="55"/>
      <c r="Q451" s="53">
        <f>O451+P451</f>
        <v>950</v>
      </c>
    </row>
    <row r="452" spans="1:17" ht="12.75">
      <c r="A452" s="15" t="s">
        <v>314</v>
      </c>
      <c r="B452" s="15"/>
      <c r="C452" s="84"/>
      <c r="D452" s="84"/>
      <c r="E452" s="84"/>
      <c r="F452" s="84"/>
      <c r="G452" s="84"/>
      <c r="H452" s="84"/>
      <c r="I452" s="84">
        <f t="shared" si="149"/>
        <v>0</v>
      </c>
      <c r="J452" s="84">
        <v>1000</v>
      </c>
      <c r="K452" s="84"/>
      <c r="L452" s="84">
        <f t="shared" si="150"/>
        <v>1000</v>
      </c>
      <c r="M452" s="84"/>
      <c r="N452" s="84"/>
      <c r="O452" s="84">
        <f t="shared" si="151"/>
        <v>1000</v>
      </c>
      <c r="P452" s="55"/>
      <c r="Q452" s="53"/>
    </row>
    <row r="453" spans="1:17" ht="12.75">
      <c r="A453" s="15" t="s">
        <v>323</v>
      </c>
      <c r="B453" s="15"/>
      <c r="C453" s="84"/>
      <c r="D453" s="84"/>
      <c r="E453" s="84"/>
      <c r="F453" s="84"/>
      <c r="G453" s="84"/>
      <c r="H453" s="84">
        <v>300</v>
      </c>
      <c r="I453" s="84">
        <f t="shared" si="149"/>
        <v>300</v>
      </c>
      <c r="J453" s="84"/>
      <c r="K453" s="84"/>
      <c r="L453" s="84">
        <f t="shared" si="150"/>
        <v>300</v>
      </c>
      <c r="M453" s="84"/>
      <c r="N453" s="84"/>
      <c r="O453" s="84">
        <f t="shared" si="151"/>
        <v>300</v>
      </c>
      <c r="P453" s="55"/>
      <c r="Q453" s="53"/>
    </row>
    <row r="454" spans="1:17" ht="12.75" hidden="1">
      <c r="A454" s="11" t="s">
        <v>76</v>
      </c>
      <c r="B454" s="11"/>
      <c r="C454" s="84"/>
      <c r="D454" s="84"/>
      <c r="E454" s="84"/>
      <c r="F454" s="84">
        <f>C454+D454+E454</f>
        <v>0</v>
      </c>
      <c r="G454" s="84"/>
      <c r="H454" s="84"/>
      <c r="I454" s="84">
        <f t="shared" si="149"/>
        <v>0</v>
      </c>
      <c r="J454" s="84"/>
      <c r="K454" s="84"/>
      <c r="L454" s="84">
        <f t="shared" si="150"/>
        <v>0</v>
      </c>
      <c r="M454" s="84"/>
      <c r="N454" s="84"/>
      <c r="O454" s="84">
        <f t="shared" si="151"/>
        <v>0</v>
      </c>
      <c r="P454" s="55"/>
      <c r="Q454" s="53">
        <f>O454+P454</f>
        <v>0</v>
      </c>
    </row>
    <row r="455" spans="1:17" ht="12.75">
      <c r="A455" s="11" t="s">
        <v>103</v>
      </c>
      <c r="B455" s="11"/>
      <c r="C455" s="84"/>
      <c r="D455" s="84"/>
      <c r="E455" s="84"/>
      <c r="F455" s="84">
        <f>C455+D455+E455</f>
        <v>0</v>
      </c>
      <c r="G455" s="84">
        <v>1500</v>
      </c>
      <c r="H455" s="84"/>
      <c r="I455" s="84">
        <f t="shared" si="149"/>
        <v>1500</v>
      </c>
      <c r="J455" s="84"/>
      <c r="K455" s="84"/>
      <c r="L455" s="84">
        <f t="shared" si="150"/>
        <v>1500</v>
      </c>
      <c r="M455" s="84"/>
      <c r="N455" s="84"/>
      <c r="O455" s="84">
        <f t="shared" si="151"/>
        <v>1500</v>
      </c>
      <c r="P455" s="55"/>
      <c r="Q455" s="53">
        <f>O455+P455</f>
        <v>1500</v>
      </c>
    </row>
    <row r="456" spans="1:17" ht="12.75">
      <c r="A456" s="21" t="s">
        <v>269</v>
      </c>
      <c r="B456" s="21"/>
      <c r="C456" s="88">
        <v>4530.4</v>
      </c>
      <c r="D456" s="88">
        <v>-4530.4</v>
      </c>
      <c r="E456" s="88"/>
      <c r="F456" s="88">
        <f>C456+D456+E456</f>
        <v>0</v>
      </c>
      <c r="G456" s="88"/>
      <c r="H456" s="88"/>
      <c r="I456" s="88">
        <f t="shared" si="149"/>
        <v>0</v>
      </c>
      <c r="J456" s="88"/>
      <c r="K456" s="88"/>
      <c r="L456" s="88">
        <f t="shared" si="150"/>
        <v>0</v>
      </c>
      <c r="M456" s="88"/>
      <c r="N456" s="88"/>
      <c r="O456" s="88">
        <f t="shared" si="151"/>
        <v>0</v>
      </c>
      <c r="P456" s="68"/>
      <c r="Q456" s="69">
        <f>O456+P456</f>
        <v>0</v>
      </c>
    </row>
    <row r="457" spans="1:17" ht="12.75">
      <c r="A457" s="8" t="s">
        <v>143</v>
      </c>
      <c r="B457" s="8"/>
      <c r="C457" s="83">
        <f aca="true" t="shared" si="152" ref="C457:I457">C458+C461</f>
        <v>2105.5</v>
      </c>
      <c r="D457" s="83">
        <f t="shared" si="152"/>
        <v>0</v>
      </c>
      <c r="E457" s="83">
        <f t="shared" si="152"/>
        <v>0</v>
      </c>
      <c r="F457" s="83">
        <f t="shared" si="152"/>
        <v>2105.5</v>
      </c>
      <c r="G457" s="83">
        <f t="shared" si="152"/>
        <v>0</v>
      </c>
      <c r="H457" s="83">
        <f t="shared" si="152"/>
        <v>0</v>
      </c>
      <c r="I457" s="83">
        <f t="shared" si="152"/>
        <v>2105.5</v>
      </c>
      <c r="J457" s="83">
        <f aca="true" t="shared" si="153" ref="J457:O457">J458+J461</f>
        <v>0</v>
      </c>
      <c r="K457" s="83">
        <f t="shared" si="153"/>
        <v>0</v>
      </c>
      <c r="L457" s="83">
        <f t="shared" si="153"/>
        <v>2105.5</v>
      </c>
      <c r="M457" s="83">
        <f t="shared" si="153"/>
        <v>346.1</v>
      </c>
      <c r="N457" s="83">
        <f t="shared" si="153"/>
        <v>0</v>
      </c>
      <c r="O457" s="83">
        <f t="shared" si="153"/>
        <v>2451.6</v>
      </c>
      <c r="P457" s="56"/>
      <c r="Q457" s="38">
        <f>Q458+Q461</f>
        <v>2451.6</v>
      </c>
    </row>
    <row r="458" spans="1:17" ht="12.75">
      <c r="A458" s="17" t="s">
        <v>69</v>
      </c>
      <c r="B458" s="17"/>
      <c r="C458" s="87">
        <f aca="true" t="shared" si="154" ref="C458:I458">SUM(C460:C460)</f>
        <v>2105.5</v>
      </c>
      <c r="D458" s="87">
        <f t="shared" si="154"/>
        <v>0</v>
      </c>
      <c r="E458" s="87">
        <f t="shared" si="154"/>
        <v>0</v>
      </c>
      <c r="F458" s="87">
        <f t="shared" si="154"/>
        <v>2105.5</v>
      </c>
      <c r="G458" s="87">
        <f t="shared" si="154"/>
        <v>0</v>
      </c>
      <c r="H458" s="87">
        <f t="shared" si="154"/>
        <v>0</v>
      </c>
      <c r="I458" s="87">
        <f t="shared" si="154"/>
        <v>2105.5</v>
      </c>
      <c r="J458" s="87">
        <f aca="true" t="shared" si="155" ref="J458:O458">SUM(J460:J460)</f>
        <v>0</v>
      </c>
      <c r="K458" s="87">
        <f t="shared" si="155"/>
        <v>0</v>
      </c>
      <c r="L458" s="87">
        <f t="shared" si="155"/>
        <v>2105.5</v>
      </c>
      <c r="M458" s="87">
        <f t="shared" si="155"/>
        <v>346.1</v>
      </c>
      <c r="N458" s="87">
        <f t="shared" si="155"/>
        <v>0</v>
      </c>
      <c r="O458" s="87">
        <f t="shared" si="155"/>
        <v>2451.6</v>
      </c>
      <c r="P458" s="60"/>
      <c r="Q458" s="39">
        <f>SUM(Q460:Q460)</f>
        <v>2451.6</v>
      </c>
    </row>
    <row r="459" spans="1:17" ht="12.75">
      <c r="A459" s="13" t="s">
        <v>38</v>
      </c>
      <c r="B459" s="13"/>
      <c r="C459" s="84"/>
      <c r="D459" s="84"/>
      <c r="E459" s="84"/>
      <c r="F459" s="83"/>
      <c r="G459" s="84"/>
      <c r="H459" s="84"/>
      <c r="I459" s="83"/>
      <c r="J459" s="84"/>
      <c r="K459" s="84"/>
      <c r="L459" s="83"/>
      <c r="M459" s="84"/>
      <c r="N459" s="84"/>
      <c r="O459" s="83"/>
      <c r="P459" s="55"/>
      <c r="Q459" s="53"/>
    </row>
    <row r="460" spans="1:17" ht="12.75">
      <c r="A460" s="14" t="s">
        <v>72</v>
      </c>
      <c r="B460" s="14"/>
      <c r="C460" s="118">
        <v>2105.5</v>
      </c>
      <c r="D460" s="88"/>
      <c r="E460" s="88"/>
      <c r="F460" s="88">
        <f>C460+D460+E460</f>
        <v>2105.5</v>
      </c>
      <c r="G460" s="88"/>
      <c r="H460" s="88"/>
      <c r="I460" s="88">
        <f>F460+G460+H460</f>
        <v>2105.5</v>
      </c>
      <c r="J460" s="88"/>
      <c r="K460" s="88"/>
      <c r="L460" s="88">
        <f>I460+J460+K460</f>
        <v>2105.5</v>
      </c>
      <c r="M460" s="88">
        <v>346.1</v>
      </c>
      <c r="N460" s="88"/>
      <c r="O460" s="88">
        <f>L460+M460+N460</f>
        <v>2451.6</v>
      </c>
      <c r="P460" s="55"/>
      <c r="Q460" s="53">
        <f>O460+P460</f>
        <v>2451.6</v>
      </c>
    </row>
    <row r="461" spans="1:17" ht="12.75" hidden="1">
      <c r="A461" s="17" t="s">
        <v>75</v>
      </c>
      <c r="B461" s="17"/>
      <c r="C461" s="87">
        <f aca="true" t="shared" si="156" ref="C461:O461">SUM(C463:C463)</f>
        <v>0</v>
      </c>
      <c r="D461" s="87">
        <f t="shared" si="156"/>
        <v>0</v>
      </c>
      <c r="E461" s="87"/>
      <c r="F461" s="87">
        <f t="shared" si="156"/>
        <v>0</v>
      </c>
      <c r="G461" s="87">
        <f t="shared" si="156"/>
        <v>0</v>
      </c>
      <c r="H461" s="87">
        <f t="shared" si="156"/>
        <v>0</v>
      </c>
      <c r="I461" s="87">
        <f t="shared" si="156"/>
        <v>0</v>
      </c>
      <c r="J461" s="87"/>
      <c r="K461" s="87"/>
      <c r="L461" s="87">
        <f t="shared" si="156"/>
        <v>0</v>
      </c>
      <c r="M461" s="87">
        <f t="shared" si="156"/>
        <v>0</v>
      </c>
      <c r="N461" s="87">
        <f t="shared" si="156"/>
        <v>0</v>
      </c>
      <c r="O461" s="87">
        <f t="shared" si="156"/>
        <v>0</v>
      </c>
      <c r="P461" s="55"/>
      <c r="Q461" s="53">
        <f>O461+P461</f>
        <v>0</v>
      </c>
    </row>
    <row r="462" spans="1:17" ht="12.75" hidden="1">
      <c r="A462" s="13" t="s">
        <v>38</v>
      </c>
      <c r="B462" s="13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55"/>
      <c r="Q462" s="53"/>
    </row>
    <row r="463" spans="1:17" ht="12.75" hidden="1">
      <c r="A463" s="14" t="s">
        <v>76</v>
      </c>
      <c r="B463" s="14"/>
      <c r="C463" s="88"/>
      <c r="D463" s="88"/>
      <c r="E463" s="88"/>
      <c r="F463" s="88">
        <f>C463+D463+E463</f>
        <v>0</v>
      </c>
      <c r="G463" s="88"/>
      <c r="H463" s="88"/>
      <c r="I463" s="88">
        <f>F463+G463+H463</f>
        <v>0</v>
      </c>
      <c r="J463" s="88"/>
      <c r="K463" s="88"/>
      <c r="L463" s="88">
        <f>I463+J463+K463</f>
        <v>0</v>
      </c>
      <c r="M463" s="88"/>
      <c r="N463" s="88"/>
      <c r="O463" s="88">
        <f>L463+M463+N463</f>
        <v>0</v>
      </c>
      <c r="P463" s="68"/>
      <c r="Q463" s="69">
        <f>O463+P463</f>
        <v>0</v>
      </c>
    </row>
    <row r="464" spans="1:17" ht="12.75">
      <c r="A464" s="8" t="s">
        <v>144</v>
      </c>
      <c r="B464" s="8"/>
      <c r="C464" s="83">
        <f aca="true" t="shared" si="157" ref="C464:Q464">C465</f>
        <v>136449.1</v>
      </c>
      <c r="D464" s="83">
        <f t="shared" si="157"/>
        <v>-29000</v>
      </c>
      <c r="E464" s="83">
        <f t="shared" si="157"/>
        <v>-6673</v>
      </c>
      <c r="F464" s="83">
        <f t="shared" si="157"/>
        <v>100776.1</v>
      </c>
      <c r="G464" s="83">
        <f t="shared" si="157"/>
        <v>-12510.7</v>
      </c>
      <c r="H464" s="83">
        <f t="shared" si="157"/>
        <v>0</v>
      </c>
      <c r="I464" s="83">
        <f t="shared" si="157"/>
        <v>88265.40000000001</v>
      </c>
      <c r="J464" s="83">
        <f t="shared" si="157"/>
        <v>300</v>
      </c>
      <c r="K464" s="83">
        <f t="shared" si="157"/>
        <v>1261.6</v>
      </c>
      <c r="L464" s="83">
        <f t="shared" si="157"/>
        <v>89827</v>
      </c>
      <c r="M464" s="83">
        <f t="shared" si="157"/>
        <v>-7150</v>
      </c>
      <c r="N464" s="83">
        <f t="shared" si="157"/>
        <v>0</v>
      </c>
      <c r="O464" s="83">
        <f t="shared" si="157"/>
        <v>82677</v>
      </c>
      <c r="P464" s="56"/>
      <c r="Q464" s="38">
        <f t="shared" si="157"/>
        <v>82677</v>
      </c>
    </row>
    <row r="465" spans="1:17" ht="12.75">
      <c r="A465" s="17" t="s">
        <v>69</v>
      </c>
      <c r="B465" s="17"/>
      <c r="C465" s="87">
        <f aca="true" t="shared" si="158" ref="C465:I465">SUM(C467:C470)</f>
        <v>136449.1</v>
      </c>
      <c r="D465" s="87">
        <f t="shared" si="158"/>
        <v>-29000</v>
      </c>
      <c r="E465" s="87">
        <f t="shared" si="158"/>
        <v>-6673</v>
      </c>
      <c r="F465" s="87">
        <f t="shared" si="158"/>
        <v>100776.1</v>
      </c>
      <c r="G465" s="87">
        <f t="shared" si="158"/>
        <v>-12510.7</v>
      </c>
      <c r="H465" s="87">
        <f t="shared" si="158"/>
        <v>0</v>
      </c>
      <c r="I465" s="87">
        <f t="shared" si="158"/>
        <v>88265.40000000001</v>
      </c>
      <c r="J465" s="87">
        <f aca="true" t="shared" si="159" ref="J465:O465">SUM(J467:J470)</f>
        <v>300</v>
      </c>
      <c r="K465" s="87">
        <f t="shared" si="159"/>
        <v>1261.6</v>
      </c>
      <c r="L465" s="87">
        <f t="shared" si="159"/>
        <v>89827</v>
      </c>
      <c r="M465" s="87">
        <f t="shared" si="159"/>
        <v>-7150</v>
      </c>
      <c r="N465" s="87">
        <f t="shared" si="159"/>
        <v>0</v>
      </c>
      <c r="O465" s="87">
        <f t="shared" si="159"/>
        <v>82677</v>
      </c>
      <c r="P465" s="60"/>
      <c r="Q465" s="39">
        <f>SUM(Q467:Q470)</f>
        <v>82677</v>
      </c>
    </row>
    <row r="466" spans="1:17" ht="12.75">
      <c r="A466" s="13" t="s">
        <v>38</v>
      </c>
      <c r="B466" s="1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55"/>
      <c r="Q466" s="53"/>
    </row>
    <row r="467" spans="1:17" ht="12.75">
      <c r="A467" s="20" t="s">
        <v>301</v>
      </c>
      <c r="B467" s="20"/>
      <c r="C467" s="84">
        <v>80000</v>
      </c>
      <c r="D467" s="84">
        <v>-29000</v>
      </c>
      <c r="E467" s="84">
        <v>-6673</v>
      </c>
      <c r="F467" s="84">
        <f>C467+D467+E467</f>
        <v>44327</v>
      </c>
      <c r="G467" s="84">
        <f>-20000-21997.6-2000</f>
        <v>-43997.6</v>
      </c>
      <c r="H467" s="84"/>
      <c r="I467" s="84">
        <f>F467+G467+H467</f>
        <v>329.40000000000146</v>
      </c>
      <c r="J467" s="91"/>
      <c r="K467" s="84"/>
      <c r="L467" s="84">
        <f>I467+J467+K467</f>
        <v>329.40000000000146</v>
      </c>
      <c r="M467" s="84"/>
      <c r="N467" s="84"/>
      <c r="O467" s="84">
        <f>L467+M467+N467</f>
        <v>329.40000000000146</v>
      </c>
      <c r="P467" s="55"/>
      <c r="Q467" s="53">
        <f>O467+P467</f>
        <v>329.40000000000146</v>
      </c>
    </row>
    <row r="468" spans="1:17" ht="12.75">
      <c r="A468" s="20" t="s">
        <v>145</v>
      </c>
      <c r="B468" s="20"/>
      <c r="C468" s="84"/>
      <c r="D468" s="84"/>
      <c r="E468" s="84"/>
      <c r="F468" s="84">
        <f>C468+D468+E468</f>
        <v>0</v>
      </c>
      <c r="G468" s="84">
        <v>21481.1</v>
      </c>
      <c r="H468" s="84"/>
      <c r="I468" s="84">
        <f>F468+G468+H468</f>
        <v>21481.1</v>
      </c>
      <c r="J468" s="84"/>
      <c r="K468" s="84"/>
      <c r="L468" s="84">
        <f>I468+J468+K468</f>
        <v>21481.1</v>
      </c>
      <c r="M468" s="84"/>
      <c r="N468" s="84"/>
      <c r="O468" s="84">
        <f>L468+M468+N468</f>
        <v>21481.1</v>
      </c>
      <c r="P468" s="55"/>
      <c r="Q468" s="53">
        <f>O468+P468</f>
        <v>21481.1</v>
      </c>
    </row>
    <row r="469" spans="1:17" ht="12.75">
      <c r="A469" s="20" t="s">
        <v>146</v>
      </c>
      <c r="B469" s="20"/>
      <c r="C469" s="84"/>
      <c r="D469" s="84"/>
      <c r="E469" s="84"/>
      <c r="F469" s="84">
        <f>C469+D469+E469</f>
        <v>0</v>
      </c>
      <c r="G469" s="84">
        <v>5.8</v>
      </c>
      <c r="H469" s="84"/>
      <c r="I469" s="84">
        <f>F469+G469+H469</f>
        <v>5.8</v>
      </c>
      <c r="J469" s="84"/>
      <c r="K469" s="84">
        <v>1261.6</v>
      </c>
      <c r="L469" s="84">
        <f>I469+J469+K469</f>
        <v>1267.3999999999999</v>
      </c>
      <c r="M469" s="84"/>
      <c r="N469" s="84"/>
      <c r="O469" s="84">
        <f>L469+M469+N469</f>
        <v>1267.3999999999999</v>
      </c>
      <c r="P469" s="55"/>
      <c r="Q469" s="53">
        <f>O469+P469</f>
        <v>1267.3999999999999</v>
      </c>
    </row>
    <row r="470" spans="1:17" ht="12.75">
      <c r="A470" s="14" t="s">
        <v>72</v>
      </c>
      <c r="B470" s="14"/>
      <c r="C470" s="88">
        <v>56449.1</v>
      </c>
      <c r="D470" s="88"/>
      <c r="E470" s="88"/>
      <c r="F470" s="88">
        <f>C470+D470+E470</f>
        <v>56449.1</v>
      </c>
      <c r="G470" s="88">
        <v>10000</v>
      </c>
      <c r="H470" s="88"/>
      <c r="I470" s="88">
        <f>F470+G470+H470</f>
        <v>66449.1</v>
      </c>
      <c r="J470" s="88">
        <v>300</v>
      </c>
      <c r="K470" s="88"/>
      <c r="L470" s="88">
        <f>I470+J470+K470</f>
        <v>66749.1</v>
      </c>
      <c r="M470" s="88">
        <f>-130-5500-1000-120-200-200</f>
        <v>-7150</v>
      </c>
      <c r="N470" s="88"/>
      <c r="O470" s="88">
        <f>L470+M470+N470</f>
        <v>59599.100000000006</v>
      </c>
      <c r="P470" s="68"/>
      <c r="Q470" s="69">
        <f>O470+P470</f>
        <v>59599.100000000006</v>
      </c>
    </row>
    <row r="471" spans="1:17" ht="12.75">
      <c r="A471" s="8" t="s">
        <v>262</v>
      </c>
      <c r="B471" s="8"/>
      <c r="C471" s="83">
        <f aca="true" t="shared" si="160" ref="C471:I471">C472+C481</f>
        <v>44644.399999999994</v>
      </c>
      <c r="D471" s="83">
        <f t="shared" si="160"/>
        <v>-3000</v>
      </c>
      <c r="E471" s="83">
        <f t="shared" si="160"/>
        <v>0</v>
      </c>
      <c r="F471" s="83">
        <f t="shared" si="160"/>
        <v>41644.399999999994</v>
      </c>
      <c r="G471" s="83">
        <f t="shared" si="160"/>
        <v>12500</v>
      </c>
      <c r="H471" s="83">
        <f t="shared" si="160"/>
        <v>1250</v>
      </c>
      <c r="I471" s="83">
        <f t="shared" si="160"/>
        <v>55394.4</v>
      </c>
      <c r="J471" s="83">
        <f aca="true" t="shared" si="161" ref="J471:O471">J472+J481</f>
        <v>244.79999999999995</v>
      </c>
      <c r="K471" s="83">
        <f t="shared" si="161"/>
        <v>0</v>
      </c>
      <c r="L471" s="83">
        <f t="shared" si="161"/>
        <v>55639.2</v>
      </c>
      <c r="M471" s="83">
        <f t="shared" si="161"/>
        <v>-890</v>
      </c>
      <c r="N471" s="83">
        <f t="shared" si="161"/>
        <v>0</v>
      </c>
      <c r="O471" s="83">
        <f t="shared" si="161"/>
        <v>54749.2</v>
      </c>
      <c r="P471" s="55"/>
      <c r="Q471" s="53"/>
    </row>
    <row r="472" spans="1:17" ht="12.75">
      <c r="A472" s="17" t="s">
        <v>69</v>
      </c>
      <c r="B472" s="17"/>
      <c r="C472" s="87">
        <f>SUM(C473:C480)</f>
        <v>37644.399999999994</v>
      </c>
      <c r="D472" s="87">
        <f aca="true" t="shared" si="162" ref="D472:O472">SUM(D473:D480)</f>
        <v>-3000</v>
      </c>
      <c r="E472" s="87">
        <f t="shared" si="162"/>
        <v>0</v>
      </c>
      <c r="F472" s="87">
        <f t="shared" si="162"/>
        <v>34644.399999999994</v>
      </c>
      <c r="G472" s="87">
        <f t="shared" si="162"/>
        <v>8000</v>
      </c>
      <c r="H472" s="87">
        <f t="shared" si="162"/>
        <v>3250</v>
      </c>
      <c r="I472" s="87">
        <f t="shared" si="162"/>
        <v>45894.4</v>
      </c>
      <c r="J472" s="87">
        <f t="shared" si="162"/>
        <v>-1045.8</v>
      </c>
      <c r="K472" s="87">
        <f t="shared" si="162"/>
        <v>-2140.4</v>
      </c>
      <c r="L472" s="87">
        <f t="shared" si="162"/>
        <v>42708.2</v>
      </c>
      <c r="M472" s="87">
        <f t="shared" si="162"/>
        <v>-1156.6</v>
      </c>
      <c r="N472" s="87">
        <f t="shared" si="162"/>
        <v>0</v>
      </c>
      <c r="O472" s="87">
        <f t="shared" si="162"/>
        <v>41551.6</v>
      </c>
      <c r="P472" s="55"/>
      <c r="Q472" s="53"/>
    </row>
    <row r="473" spans="1:17" ht="12.75">
      <c r="A473" s="11" t="s">
        <v>324</v>
      </c>
      <c r="B473" s="11"/>
      <c r="C473" s="84">
        <v>5248.6</v>
      </c>
      <c r="D473" s="84"/>
      <c r="E473" s="84"/>
      <c r="F473" s="84">
        <f aca="true" t="shared" si="163" ref="F473:F479">C473+D473+E473</f>
        <v>5248.6</v>
      </c>
      <c r="G473" s="84"/>
      <c r="H473" s="84"/>
      <c r="I473" s="84">
        <f aca="true" t="shared" si="164" ref="I473:I479">F473+G473+H473</f>
        <v>5248.6</v>
      </c>
      <c r="J473" s="84">
        <v>-1853.6</v>
      </c>
      <c r="K473" s="84"/>
      <c r="L473" s="84">
        <f>I473+J473+K473</f>
        <v>3395.0000000000005</v>
      </c>
      <c r="M473" s="84"/>
      <c r="N473" s="84"/>
      <c r="O473" s="84">
        <f>L473+M473+N473</f>
        <v>3395.0000000000005</v>
      </c>
      <c r="P473" s="55"/>
      <c r="Q473" s="53"/>
    </row>
    <row r="474" spans="1:17" ht="12.75">
      <c r="A474" s="11" t="s">
        <v>325</v>
      </c>
      <c r="B474" s="11"/>
      <c r="C474" s="84">
        <v>4496.2</v>
      </c>
      <c r="D474" s="84"/>
      <c r="E474" s="84"/>
      <c r="F474" s="84">
        <f t="shared" si="163"/>
        <v>4496.2</v>
      </c>
      <c r="G474" s="84">
        <v>2500</v>
      </c>
      <c r="H474" s="84">
        <v>1250</v>
      </c>
      <c r="I474" s="84">
        <f t="shared" si="164"/>
        <v>8246.2</v>
      </c>
      <c r="J474" s="84">
        <v>400</v>
      </c>
      <c r="K474" s="84"/>
      <c r="L474" s="84">
        <f aca="true" t="shared" si="165" ref="L474:L480">I474+J474+K474</f>
        <v>8646.2</v>
      </c>
      <c r="M474" s="84"/>
      <c r="N474" s="84"/>
      <c r="O474" s="84">
        <f aca="true" t="shared" si="166" ref="O474:O484">L474+M474+N474</f>
        <v>8646.2</v>
      </c>
      <c r="P474" s="55"/>
      <c r="Q474" s="53"/>
    </row>
    <row r="475" spans="1:17" ht="12.75">
      <c r="A475" s="11" t="s">
        <v>326</v>
      </c>
      <c r="B475" s="11"/>
      <c r="C475" s="84">
        <v>2604</v>
      </c>
      <c r="D475" s="91"/>
      <c r="E475" s="84"/>
      <c r="F475" s="84">
        <f t="shared" si="163"/>
        <v>2604</v>
      </c>
      <c r="G475" s="84"/>
      <c r="H475" s="84"/>
      <c r="I475" s="84">
        <f t="shared" si="164"/>
        <v>2604</v>
      </c>
      <c r="J475" s="84">
        <v>-600</v>
      </c>
      <c r="K475" s="84"/>
      <c r="L475" s="84">
        <f t="shared" si="165"/>
        <v>2004</v>
      </c>
      <c r="M475" s="84"/>
      <c r="N475" s="84"/>
      <c r="O475" s="84">
        <f t="shared" si="166"/>
        <v>2004</v>
      </c>
      <c r="P475" s="55"/>
      <c r="Q475" s="53"/>
    </row>
    <row r="476" spans="1:17" ht="12.75">
      <c r="A476" s="11" t="s">
        <v>327</v>
      </c>
      <c r="B476" s="11"/>
      <c r="C476" s="84">
        <v>1395.9</v>
      </c>
      <c r="D476" s="84"/>
      <c r="E476" s="84"/>
      <c r="F476" s="84">
        <f t="shared" si="163"/>
        <v>1395.9</v>
      </c>
      <c r="G476" s="84"/>
      <c r="H476" s="84"/>
      <c r="I476" s="84">
        <f t="shared" si="164"/>
        <v>1395.9</v>
      </c>
      <c r="J476" s="84"/>
      <c r="K476" s="84"/>
      <c r="L476" s="84">
        <f t="shared" si="165"/>
        <v>1395.9</v>
      </c>
      <c r="M476" s="84"/>
      <c r="N476" s="84"/>
      <c r="O476" s="84">
        <f t="shared" si="166"/>
        <v>1395.9</v>
      </c>
      <c r="P476" s="55"/>
      <c r="Q476" s="53"/>
    </row>
    <row r="477" spans="1:17" ht="12.75">
      <c r="A477" s="11" t="s">
        <v>328</v>
      </c>
      <c r="B477" s="11"/>
      <c r="C477" s="84">
        <v>9380</v>
      </c>
      <c r="D477" s="84"/>
      <c r="E477" s="84"/>
      <c r="F477" s="84">
        <f t="shared" si="163"/>
        <v>9380</v>
      </c>
      <c r="G477" s="84"/>
      <c r="H477" s="84"/>
      <c r="I477" s="84">
        <f t="shared" si="164"/>
        <v>9380</v>
      </c>
      <c r="J477" s="84"/>
      <c r="K477" s="84"/>
      <c r="L477" s="84">
        <f t="shared" si="165"/>
        <v>9380</v>
      </c>
      <c r="M477" s="84"/>
      <c r="N477" s="84"/>
      <c r="O477" s="84">
        <f t="shared" si="166"/>
        <v>9380</v>
      </c>
      <c r="P477" s="55"/>
      <c r="Q477" s="53"/>
    </row>
    <row r="478" spans="1:17" ht="12.75">
      <c r="A478" s="11" t="s">
        <v>329</v>
      </c>
      <c r="B478" s="11"/>
      <c r="C478" s="84">
        <v>6519.7</v>
      </c>
      <c r="D478" s="84">
        <v>-3000</v>
      </c>
      <c r="E478" s="84"/>
      <c r="F478" s="84">
        <f t="shared" si="163"/>
        <v>3519.7</v>
      </c>
      <c r="G478" s="84"/>
      <c r="H478" s="84"/>
      <c r="I478" s="84">
        <f t="shared" si="164"/>
        <v>3519.7</v>
      </c>
      <c r="J478" s="84">
        <v>444.8</v>
      </c>
      <c r="K478" s="84">
        <v>-2140.4</v>
      </c>
      <c r="L478" s="84">
        <f t="shared" si="165"/>
        <v>1824.1</v>
      </c>
      <c r="M478" s="84"/>
      <c r="N478" s="84"/>
      <c r="O478" s="84">
        <f t="shared" si="166"/>
        <v>1824.1</v>
      </c>
      <c r="P478" s="55"/>
      <c r="Q478" s="53"/>
    </row>
    <row r="479" spans="1:17" ht="12.75">
      <c r="A479" s="11" t="s">
        <v>330</v>
      </c>
      <c r="B479" s="11"/>
      <c r="C479" s="84">
        <v>8000</v>
      </c>
      <c r="D479" s="84"/>
      <c r="E479" s="84"/>
      <c r="F479" s="84">
        <f t="shared" si="163"/>
        <v>8000</v>
      </c>
      <c r="G479" s="84">
        <v>5500</v>
      </c>
      <c r="H479" s="84">
        <v>2000</v>
      </c>
      <c r="I479" s="84">
        <f t="shared" si="164"/>
        <v>15500</v>
      </c>
      <c r="J479" s="84">
        <f>600-37</f>
        <v>563</v>
      </c>
      <c r="K479" s="84"/>
      <c r="L479" s="84">
        <f t="shared" si="165"/>
        <v>16063</v>
      </c>
      <c r="M479" s="84">
        <f>1073.4-2250</f>
        <v>-1176.6</v>
      </c>
      <c r="N479" s="84"/>
      <c r="O479" s="84">
        <f t="shared" si="166"/>
        <v>14886.4</v>
      </c>
      <c r="P479" s="55"/>
      <c r="Q479" s="53"/>
    </row>
    <row r="480" spans="1:17" ht="12.75">
      <c r="A480" s="11" t="s">
        <v>72</v>
      </c>
      <c r="B480" s="11"/>
      <c r="C480" s="84"/>
      <c r="D480" s="84"/>
      <c r="E480" s="84"/>
      <c r="F480" s="84"/>
      <c r="G480" s="84"/>
      <c r="H480" s="84"/>
      <c r="I480" s="84"/>
      <c r="J480" s="84"/>
      <c r="K480" s="84"/>
      <c r="L480" s="84">
        <f t="shared" si="165"/>
        <v>0</v>
      </c>
      <c r="M480" s="84">
        <v>20</v>
      </c>
      <c r="N480" s="84"/>
      <c r="O480" s="84">
        <f t="shared" si="166"/>
        <v>20</v>
      </c>
      <c r="P480" s="55"/>
      <c r="Q480" s="53"/>
    </row>
    <row r="481" spans="1:17" ht="12.75">
      <c r="A481" s="17" t="s">
        <v>75</v>
      </c>
      <c r="B481" s="17"/>
      <c r="C481" s="87">
        <f>SUM(C482:C484)</f>
        <v>7000</v>
      </c>
      <c r="D481" s="87">
        <f aca="true" t="shared" si="167" ref="D481:O481">SUM(D482:D484)</f>
        <v>0</v>
      </c>
      <c r="E481" s="87">
        <f t="shared" si="167"/>
        <v>0</v>
      </c>
      <c r="F481" s="87">
        <f t="shared" si="167"/>
        <v>7000</v>
      </c>
      <c r="G481" s="87">
        <f t="shared" si="167"/>
        <v>4500</v>
      </c>
      <c r="H481" s="87">
        <f t="shared" si="167"/>
        <v>-2000</v>
      </c>
      <c r="I481" s="87">
        <f t="shared" si="167"/>
        <v>9500</v>
      </c>
      <c r="J481" s="87">
        <f t="shared" si="167"/>
        <v>1290.6</v>
      </c>
      <c r="K481" s="87">
        <f t="shared" si="167"/>
        <v>2140.4</v>
      </c>
      <c r="L481" s="87">
        <f t="shared" si="167"/>
        <v>12931</v>
      </c>
      <c r="M481" s="87">
        <f t="shared" si="167"/>
        <v>266.5999999999999</v>
      </c>
      <c r="N481" s="87">
        <f t="shared" si="167"/>
        <v>0</v>
      </c>
      <c r="O481" s="87">
        <f t="shared" si="167"/>
        <v>13197.6</v>
      </c>
      <c r="P481" s="55"/>
      <c r="Q481" s="53"/>
    </row>
    <row r="482" spans="1:17" ht="12.75">
      <c r="A482" s="11" t="s">
        <v>324</v>
      </c>
      <c r="B482" s="13"/>
      <c r="C482" s="84"/>
      <c r="D482" s="84"/>
      <c r="E482" s="84"/>
      <c r="F482" s="84"/>
      <c r="G482" s="84"/>
      <c r="H482" s="84"/>
      <c r="I482" s="84">
        <f>F482+G482+H482</f>
        <v>0</v>
      </c>
      <c r="J482" s="84">
        <v>1853.6</v>
      </c>
      <c r="K482" s="84"/>
      <c r="L482" s="84">
        <f>I482+J482+K482</f>
        <v>1853.6</v>
      </c>
      <c r="M482" s="84"/>
      <c r="N482" s="84"/>
      <c r="O482" s="84">
        <f t="shared" si="166"/>
        <v>1853.6</v>
      </c>
      <c r="P482" s="55"/>
      <c r="Q482" s="53"/>
    </row>
    <row r="483" spans="1:17" ht="12.75">
      <c r="A483" s="11" t="s">
        <v>329</v>
      </c>
      <c r="B483" s="13"/>
      <c r="C483" s="84"/>
      <c r="D483" s="84"/>
      <c r="E483" s="84"/>
      <c r="F483" s="84"/>
      <c r="G483" s="84"/>
      <c r="H483" s="84"/>
      <c r="I483" s="84"/>
      <c r="J483" s="84"/>
      <c r="K483" s="84">
        <v>2140.4</v>
      </c>
      <c r="L483" s="84">
        <f>I483+J483+K483</f>
        <v>2140.4</v>
      </c>
      <c r="M483" s="84"/>
      <c r="N483" s="84"/>
      <c r="O483" s="84">
        <f t="shared" si="166"/>
        <v>2140.4</v>
      </c>
      <c r="P483" s="55"/>
      <c r="Q483" s="53"/>
    </row>
    <row r="484" spans="1:17" ht="12.75">
      <c r="A484" s="14" t="s">
        <v>330</v>
      </c>
      <c r="B484" s="14"/>
      <c r="C484" s="92">
        <v>7000</v>
      </c>
      <c r="D484" s="88"/>
      <c r="E484" s="88"/>
      <c r="F484" s="88">
        <f>C484+D484+E484</f>
        <v>7000</v>
      </c>
      <c r="G484" s="88">
        <v>4500</v>
      </c>
      <c r="H484" s="92">
        <v>-2000</v>
      </c>
      <c r="I484" s="88">
        <f>F484+G484+H484</f>
        <v>9500</v>
      </c>
      <c r="J484" s="88">
        <f>-600+37</f>
        <v>-563</v>
      </c>
      <c r="K484" s="88"/>
      <c r="L484" s="88">
        <f>I484+J484+K484</f>
        <v>8937</v>
      </c>
      <c r="M484" s="88">
        <f>-1073.4+1140+200</f>
        <v>266.5999999999999</v>
      </c>
      <c r="N484" s="88"/>
      <c r="O484" s="88">
        <f t="shared" si="166"/>
        <v>9203.6</v>
      </c>
      <c r="P484" s="55"/>
      <c r="Q484" s="53"/>
    </row>
    <row r="485" spans="1:17" ht="12.75">
      <c r="A485" s="8" t="s">
        <v>198</v>
      </c>
      <c r="B485" s="8"/>
      <c r="C485" s="83">
        <f aca="true" t="shared" si="168" ref="C485:Q485">C486</f>
        <v>3000</v>
      </c>
      <c r="D485" s="83">
        <f t="shared" si="168"/>
        <v>0</v>
      </c>
      <c r="E485" s="83">
        <f t="shared" si="168"/>
        <v>2006.7</v>
      </c>
      <c r="F485" s="83">
        <f t="shared" si="168"/>
        <v>5006.7</v>
      </c>
      <c r="G485" s="83">
        <f t="shared" si="168"/>
        <v>0</v>
      </c>
      <c r="H485" s="83">
        <f t="shared" si="168"/>
        <v>0</v>
      </c>
      <c r="I485" s="83">
        <f t="shared" si="168"/>
        <v>5006.7</v>
      </c>
      <c r="J485" s="83">
        <f t="shared" si="168"/>
        <v>0</v>
      </c>
      <c r="K485" s="83">
        <f t="shared" si="168"/>
        <v>0</v>
      </c>
      <c r="L485" s="83">
        <f t="shared" si="168"/>
        <v>5006.7</v>
      </c>
      <c r="M485" s="83">
        <f t="shared" si="168"/>
        <v>0</v>
      </c>
      <c r="N485" s="83">
        <f t="shared" si="168"/>
        <v>0</v>
      </c>
      <c r="O485" s="83">
        <f t="shared" si="168"/>
        <v>5006.7</v>
      </c>
      <c r="P485" s="56"/>
      <c r="Q485" s="38">
        <f t="shared" si="168"/>
        <v>5006.7</v>
      </c>
    </row>
    <row r="486" spans="1:17" ht="12.75">
      <c r="A486" s="17" t="s">
        <v>69</v>
      </c>
      <c r="B486" s="17"/>
      <c r="C486" s="87">
        <f aca="true" t="shared" si="169" ref="C486:I486">C488</f>
        <v>3000</v>
      </c>
      <c r="D486" s="87">
        <f t="shared" si="169"/>
        <v>0</v>
      </c>
      <c r="E486" s="87">
        <f t="shared" si="169"/>
        <v>2006.7</v>
      </c>
      <c r="F486" s="87">
        <f t="shared" si="169"/>
        <v>5006.7</v>
      </c>
      <c r="G486" s="87">
        <f t="shared" si="169"/>
        <v>0</v>
      </c>
      <c r="H486" s="87">
        <f t="shared" si="169"/>
        <v>0</v>
      </c>
      <c r="I486" s="87">
        <f t="shared" si="169"/>
        <v>5006.7</v>
      </c>
      <c r="J486" s="87">
        <f aca="true" t="shared" si="170" ref="J486:O486">J488</f>
        <v>0</v>
      </c>
      <c r="K486" s="87">
        <f t="shared" si="170"/>
        <v>0</v>
      </c>
      <c r="L486" s="87">
        <f t="shared" si="170"/>
        <v>5006.7</v>
      </c>
      <c r="M486" s="87">
        <f t="shared" si="170"/>
        <v>0</v>
      </c>
      <c r="N486" s="87">
        <f t="shared" si="170"/>
        <v>0</v>
      </c>
      <c r="O486" s="87">
        <f t="shared" si="170"/>
        <v>5006.7</v>
      </c>
      <c r="P486" s="60"/>
      <c r="Q486" s="39">
        <f>Q488</f>
        <v>5006.7</v>
      </c>
    </row>
    <row r="487" spans="1:17" ht="12.75">
      <c r="A487" s="13" t="s">
        <v>38</v>
      </c>
      <c r="B487" s="13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55"/>
      <c r="Q487" s="53"/>
    </row>
    <row r="488" spans="1:17" ht="12.75">
      <c r="A488" s="14" t="s">
        <v>72</v>
      </c>
      <c r="B488" s="14"/>
      <c r="C488" s="88">
        <v>3000</v>
      </c>
      <c r="D488" s="88"/>
      <c r="E488" s="88">
        <v>2006.7</v>
      </c>
      <c r="F488" s="88">
        <f>C488+D488+E488</f>
        <v>5006.7</v>
      </c>
      <c r="G488" s="88"/>
      <c r="H488" s="88"/>
      <c r="I488" s="88">
        <f>F488+G488+H488</f>
        <v>5006.7</v>
      </c>
      <c r="J488" s="88"/>
      <c r="K488" s="88"/>
      <c r="L488" s="88">
        <f>I488+J488+K488</f>
        <v>5006.7</v>
      </c>
      <c r="M488" s="88"/>
      <c r="N488" s="88"/>
      <c r="O488" s="88">
        <f>L488+M488+N488</f>
        <v>5006.7</v>
      </c>
      <c r="P488" s="68"/>
      <c r="Q488" s="69">
        <f>O488+P488</f>
        <v>5006.7</v>
      </c>
    </row>
    <row r="489" spans="1:17" ht="12.75">
      <c r="A489" s="8" t="s">
        <v>147</v>
      </c>
      <c r="B489" s="8"/>
      <c r="C489" s="83">
        <f aca="true" t="shared" si="171" ref="C489:I489">C491+C492</f>
        <v>161000</v>
      </c>
      <c r="D489" s="90">
        <f t="shared" si="171"/>
        <v>-4000</v>
      </c>
      <c r="E489" s="90">
        <f t="shared" si="171"/>
        <v>76443.2</v>
      </c>
      <c r="F489" s="90">
        <f t="shared" si="171"/>
        <v>233443.2</v>
      </c>
      <c r="G489" s="90">
        <f t="shared" si="171"/>
        <v>56551.2</v>
      </c>
      <c r="H489" s="90">
        <f t="shared" si="171"/>
        <v>12536.3</v>
      </c>
      <c r="I489" s="90">
        <f t="shared" si="171"/>
        <v>302530.70000000007</v>
      </c>
      <c r="J489" s="90">
        <f aca="true" t="shared" si="172" ref="J489:O489">J491+J492</f>
        <v>22415.1</v>
      </c>
      <c r="K489" s="90">
        <f t="shared" si="172"/>
        <v>5036.1</v>
      </c>
      <c r="L489" s="90">
        <f t="shared" si="172"/>
        <v>329981.89999999997</v>
      </c>
      <c r="M489" s="90">
        <f t="shared" si="172"/>
        <v>0</v>
      </c>
      <c r="N489" s="90">
        <f t="shared" si="172"/>
        <v>0</v>
      </c>
      <c r="O489" s="90">
        <f t="shared" si="172"/>
        <v>329981.9</v>
      </c>
      <c r="P489" s="56"/>
      <c r="Q489" s="38">
        <f>Q491+Q492</f>
        <v>329981.9</v>
      </c>
    </row>
    <row r="490" spans="1:17" ht="12.75">
      <c r="A490" s="10" t="s">
        <v>38</v>
      </c>
      <c r="B490" s="10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56"/>
      <c r="Q490" s="38"/>
    </row>
    <row r="491" spans="1:17" ht="12.75">
      <c r="A491" s="8" t="s">
        <v>69</v>
      </c>
      <c r="B491" s="8"/>
      <c r="C491" s="83">
        <f aca="true" t="shared" si="173" ref="C491:I491">C508+C520+C522+C527+C532+C523+C513+C534+C515+C537</f>
        <v>20450</v>
      </c>
      <c r="D491" s="85">
        <f t="shared" si="173"/>
        <v>-2000</v>
      </c>
      <c r="E491" s="85">
        <f t="shared" si="173"/>
        <v>2733.6</v>
      </c>
      <c r="F491" s="85">
        <f t="shared" si="173"/>
        <v>21183.6</v>
      </c>
      <c r="G491" s="85">
        <f t="shared" si="173"/>
        <v>4287.5</v>
      </c>
      <c r="H491" s="85">
        <f t="shared" si="173"/>
        <v>-3384.2000000000003</v>
      </c>
      <c r="I491" s="85">
        <f t="shared" si="173"/>
        <v>22086.9</v>
      </c>
      <c r="J491" s="85">
        <f aca="true" t="shared" si="174" ref="J491:O491">J508+J520+J522+J527+J532+J523+J513+J534+J515+J537</f>
        <v>7890</v>
      </c>
      <c r="K491" s="85">
        <f t="shared" si="174"/>
        <v>3469.3</v>
      </c>
      <c r="L491" s="85">
        <f t="shared" si="174"/>
        <v>33446.2</v>
      </c>
      <c r="M491" s="85">
        <f t="shared" si="174"/>
        <v>4350</v>
      </c>
      <c r="N491" s="85">
        <f t="shared" si="174"/>
        <v>0</v>
      </c>
      <c r="O491" s="85">
        <f t="shared" si="174"/>
        <v>37796.200000000004</v>
      </c>
      <c r="P491" s="56"/>
      <c r="Q491" s="38">
        <f>Q506+Q508+Q515+Q527+Q532+Q523+Q513+Q520+Q522+Q534</f>
        <v>37796.200000000004</v>
      </c>
    </row>
    <row r="492" spans="1:17" ht="12.75">
      <c r="A492" s="8" t="s">
        <v>75</v>
      </c>
      <c r="B492" s="8"/>
      <c r="C492" s="83">
        <f>C495+C496+C498+C499+C501+C503+C504+C505+C509+C510+C512+C514+C516+C518+C519+C521+C524+C526+C528+C529+C531+C533+C535+C539+C538</f>
        <v>140550</v>
      </c>
      <c r="D492" s="85">
        <f>D495+D496+D498+D499+D501+D503+D504+D505+D509+D510+D512+D514+D516+D518+D519+D521+D524+D526+D528+D529+D531+D533+D535+D539+D538</f>
        <v>-2000</v>
      </c>
      <c r="E492" s="85">
        <f>E495+E496+E498+E499+E501+E503+E504+E505+E509+E510+E512+E514+E516+E518+E519+E521+E524+E526+E528+E529+E531+E533+E535+E539</f>
        <v>73709.59999999999</v>
      </c>
      <c r="F492" s="85">
        <f aca="true" t="shared" si="175" ref="F492:L492">F495+F496+F498+F499+F501+F503+F504+F505+F509+F510+F512+F514+F516+F518+F519+F521+F524+F526+F528+F529+F531+F533+F535+F539+F538</f>
        <v>212259.6</v>
      </c>
      <c r="G492" s="85">
        <f t="shared" si="175"/>
        <v>52263.7</v>
      </c>
      <c r="H492" s="85">
        <f t="shared" si="175"/>
        <v>15920.5</v>
      </c>
      <c r="I492" s="85">
        <f t="shared" si="175"/>
        <v>280443.80000000005</v>
      </c>
      <c r="J492" s="85">
        <f t="shared" si="175"/>
        <v>14525.099999999999</v>
      </c>
      <c r="K492" s="85">
        <f t="shared" si="175"/>
        <v>1566.8000000000002</v>
      </c>
      <c r="L492" s="85">
        <f t="shared" si="175"/>
        <v>296535.69999999995</v>
      </c>
      <c r="M492" s="85">
        <f>M495+M496+M498+M499+M501+M503+M504+M505+M509+M510+M512+M514+M516+M518+M519+M521+M524+M526+M528+M529+M531+M533+M535+M539+M538</f>
        <v>-4350</v>
      </c>
      <c r="N492" s="85">
        <f>N495+N496+N498+N499+N501+N503+N504+N505+N509+N510+N512+N514+N516+N518+N519+N521+N524+N526+N528+N529+N531+N533+N535+N539+N538</f>
        <v>0</v>
      </c>
      <c r="O492" s="85">
        <f>O495+O496+O498+O499+O501+O503+O504+O505+O509+O510+O512+O514+O516+O518+O519+O521+O524+O526+O528+O529+O531+O533+O535+O539+O538</f>
        <v>292185.7</v>
      </c>
      <c r="P492" s="56"/>
      <c r="Q492" s="38">
        <f>Q495+Q496+Q498+Q499+Q503+Q504+Q505+Q509+Q510+Q512+Q514+Q516+Q518+Q519+Q521+Q524+Q526+Q528+Q529+Q531+Q533+Q535+Q539</f>
        <v>292185.7</v>
      </c>
    </row>
    <row r="493" spans="1:17" ht="12.75">
      <c r="A493" s="9" t="s">
        <v>148</v>
      </c>
      <c r="B493" s="9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55"/>
      <c r="Q493" s="53"/>
    </row>
    <row r="494" spans="1:17" ht="12.75">
      <c r="A494" s="10" t="s">
        <v>149</v>
      </c>
      <c r="B494" s="10"/>
      <c r="C494" s="84">
        <f aca="true" t="shared" si="176" ref="C494:O494">C495+C496</f>
        <v>1000</v>
      </c>
      <c r="D494" s="84">
        <f t="shared" si="176"/>
        <v>0</v>
      </c>
      <c r="E494" s="84">
        <f t="shared" si="176"/>
        <v>0</v>
      </c>
      <c r="F494" s="84">
        <f t="shared" si="176"/>
        <v>1000</v>
      </c>
      <c r="G494" s="84">
        <f t="shared" si="176"/>
        <v>0</v>
      </c>
      <c r="H494" s="84">
        <f t="shared" si="176"/>
        <v>0</v>
      </c>
      <c r="I494" s="84">
        <f t="shared" si="176"/>
        <v>1000</v>
      </c>
      <c r="J494" s="84">
        <f t="shared" si="176"/>
        <v>0</v>
      </c>
      <c r="K494" s="84">
        <f t="shared" si="176"/>
        <v>14.7</v>
      </c>
      <c r="L494" s="84">
        <f t="shared" si="176"/>
        <v>1014.7</v>
      </c>
      <c r="M494" s="84">
        <f t="shared" si="176"/>
        <v>0</v>
      </c>
      <c r="N494" s="84">
        <f t="shared" si="176"/>
        <v>0</v>
      </c>
      <c r="O494" s="84">
        <f t="shared" si="176"/>
        <v>1014.7</v>
      </c>
      <c r="P494" s="57"/>
      <c r="Q494" s="45">
        <f>Q495+Q496</f>
        <v>1014.7</v>
      </c>
    </row>
    <row r="495" spans="1:17" ht="12.75">
      <c r="A495" s="10" t="s">
        <v>150</v>
      </c>
      <c r="B495" s="10"/>
      <c r="C495" s="84"/>
      <c r="D495" s="84"/>
      <c r="E495" s="83"/>
      <c r="F495" s="84">
        <f aca="true" t="shared" si="177" ref="F495:F539">C495+D495+E495</f>
        <v>0</v>
      </c>
      <c r="G495" s="84"/>
      <c r="H495" s="83"/>
      <c r="I495" s="84">
        <f>F495+G495+H495</f>
        <v>0</v>
      </c>
      <c r="J495" s="84"/>
      <c r="K495" s="83"/>
      <c r="L495" s="84">
        <f>I495+J495+K495</f>
        <v>0</v>
      </c>
      <c r="M495" s="84">
        <v>1014.7</v>
      </c>
      <c r="N495" s="83"/>
      <c r="O495" s="84">
        <f>L495+M495+N495</f>
        <v>1014.7</v>
      </c>
      <c r="P495" s="55"/>
      <c r="Q495" s="53">
        <f>O495+P495</f>
        <v>1014.7</v>
      </c>
    </row>
    <row r="496" spans="1:17" ht="12.75">
      <c r="A496" s="10" t="s">
        <v>151</v>
      </c>
      <c r="B496" s="10"/>
      <c r="C496" s="84">
        <v>1000</v>
      </c>
      <c r="D496" s="84"/>
      <c r="E496" s="84"/>
      <c r="F496" s="84">
        <f t="shared" si="177"/>
        <v>1000</v>
      </c>
      <c r="G496" s="84"/>
      <c r="H496" s="83"/>
      <c r="I496" s="84">
        <f>F496+G496+H496</f>
        <v>1000</v>
      </c>
      <c r="J496" s="84"/>
      <c r="K496" s="84">
        <v>14.7</v>
      </c>
      <c r="L496" s="84">
        <f>I496+J496+K496</f>
        <v>1014.7</v>
      </c>
      <c r="M496" s="84">
        <v>-1014.7</v>
      </c>
      <c r="N496" s="83"/>
      <c r="O496" s="84">
        <f>L496+M496+N496</f>
        <v>0</v>
      </c>
      <c r="P496" s="55"/>
      <c r="Q496" s="53">
        <f>O496+P496</f>
        <v>0</v>
      </c>
    </row>
    <row r="497" spans="1:17" ht="12.75">
      <c r="A497" s="10" t="s">
        <v>152</v>
      </c>
      <c r="B497" s="10"/>
      <c r="C497" s="84">
        <f aca="true" t="shared" si="178" ref="C497:O497">C498+C499</f>
        <v>2260</v>
      </c>
      <c r="D497" s="84">
        <f t="shared" si="178"/>
        <v>0</v>
      </c>
      <c r="E497" s="84">
        <f t="shared" si="178"/>
        <v>0</v>
      </c>
      <c r="F497" s="84">
        <f t="shared" si="178"/>
        <v>2260</v>
      </c>
      <c r="G497" s="84">
        <f t="shared" si="178"/>
        <v>4132.8</v>
      </c>
      <c r="H497" s="84">
        <f t="shared" si="178"/>
        <v>0</v>
      </c>
      <c r="I497" s="84">
        <f t="shared" si="178"/>
        <v>6392.8</v>
      </c>
      <c r="J497" s="84">
        <f t="shared" si="178"/>
        <v>-2797</v>
      </c>
      <c r="K497" s="84">
        <f t="shared" si="178"/>
        <v>0</v>
      </c>
      <c r="L497" s="84">
        <f t="shared" si="178"/>
        <v>3595.8</v>
      </c>
      <c r="M497" s="84">
        <f t="shared" si="178"/>
        <v>0</v>
      </c>
      <c r="N497" s="84">
        <f t="shared" si="178"/>
        <v>0</v>
      </c>
      <c r="O497" s="84">
        <f t="shared" si="178"/>
        <v>3595.8</v>
      </c>
      <c r="P497" s="57"/>
      <c r="Q497" s="45">
        <f>Q498+Q499</f>
        <v>3595.8</v>
      </c>
    </row>
    <row r="498" spans="1:17" ht="12.75">
      <c r="A498" s="10" t="s">
        <v>150</v>
      </c>
      <c r="B498" s="10"/>
      <c r="C498" s="84">
        <v>2260</v>
      </c>
      <c r="D498" s="84"/>
      <c r="E498" s="84"/>
      <c r="F498" s="84">
        <f t="shared" si="177"/>
        <v>2260</v>
      </c>
      <c r="G498" s="84">
        <v>3000</v>
      </c>
      <c r="H498" s="83"/>
      <c r="I498" s="84">
        <f>F498+G498+H498</f>
        <v>5260</v>
      </c>
      <c r="J498" s="84">
        <f>203-3000</f>
        <v>-2797</v>
      </c>
      <c r="K498" s="84"/>
      <c r="L498" s="84">
        <f>I498+J498+K498</f>
        <v>2463</v>
      </c>
      <c r="M498" s="84"/>
      <c r="N498" s="83"/>
      <c r="O498" s="84">
        <f>L498+M498+N498</f>
        <v>2463</v>
      </c>
      <c r="P498" s="55"/>
      <c r="Q498" s="53">
        <f>O498+P498</f>
        <v>2463</v>
      </c>
    </row>
    <row r="499" spans="1:17" ht="12.75">
      <c r="A499" s="10" t="s">
        <v>151</v>
      </c>
      <c r="B499" s="10"/>
      <c r="C499" s="84"/>
      <c r="D499" s="84"/>
      <c r="E499" s="84"/>
      <c r="F499" s="84">
        <f t="shared" si="177"/>
        <v>0</v>
      </c>
      <c r="G499" s="84">
        <v>1132.8</v>
      </c>
      <c r="H499" s="83"/>
      <c r="I499" s="84">
        <f>F499+G499+H499</f>
        <v>1132.8</v>
      </c>
      <c r="J499" s="84">
        <f>-203+203</f>
        <v>0</v>
      </c>
      <c r="K499" s="84"/>
      <c r="L499" s="84">
        <f>I499+J499+K499</f>
        <v>1132.8</v>
      </c>
      <c r="M499" s="84"/>
      <c r="N499" s="83"/>
      <c r="O499" s="84">
        <f>L499+M499+N499</f>
        <v>1132.8</v>
      </c>
      <c r="P499" s="55"/>
      <c r="Q499" s="53">
        <f>O499+P499</f>
        <v>1132.8</v>
      </c>
    </row>
    <row r="500" spans="1:17" ht="12.75" hidden="1">
      <c r="A500" s="11" t="s">
        <v>253</v>
      </c>
      <c r="B500" s="11"/>
      <c r="C500" s="84">
        <f aca="true" t="shared" si="179" ref="C500:O500">C501</f>
        <v>0</v>
      </c>
      <c r="D500" s="84">
        <f t="shared" si="179"/>
        <v>0</v>
      </c>
      <c r="E500" s="84">
        <f t="shared" si="179"/>
        <v>0</v>
      </c>
      <c r="F500" s="84">
        <f t="shared" si="179"/>
        <v>0</v>
      </c>
      <c r="G500" s="84">
        <f t="shared" si="179"/>
        <v>0</v>
      </c>
      <c r="H500" s="84">
        <f t="shared" si="179"/>
        <v>0</v>
      </c>
      <c r="I500" s="84">
        <f t="shared" si="179"/>
        <v>0</v>
      </c>
      <c r="J500" s="84">
        <f t="shared" si="179"/>
        <v>0</v>
      </c>
      <c r="K500" s="84">
        <f t="shared" si="179"/>
        <v>0</v>
      </c>
      <c r="L500" s="84">
        <f t="shared" si="179"/>
        <v>0</v>
      </c>
      <c r="M500" s="84">
        <f t="shared" si="179"/>
        <v>0</v>
      </c>
      <c r="N500" s="84">
        <f t="shared" si="179"/>
        <v>0</v>
      </c>
      <c r="O500" s="84">
        <f t="shared" si="179"/>
        <v>0</v>
      </c>
      <c r="P500" s="55"/>
      <c r="Q500" s="53"/>
    </row>
    <row r="501" spans="1:17" ht="12.75" hidden="1">
      <c r="A501" s="11" t="s">
        <v>254</v>
      </c>
      <c r="B501" s="11"/>
      <c r="C501" s="84"/>
      <c r="D501" s="84"/>
      <c r="E501" s="84"/>
      <c r="F501" s="84">
        <f t="shared" si="177"/>
        <v>0</v>
      </c>
      <c r="G501" s="84"/>
      <c r="H501" s="83"/>
      <c r="I501" s="84"/>
      <c r="J501" s="84"/>
      <c r="K501" s="83"/>
      <c r="L501" s="84"/>
      <c r="M501" s="84"/>
      <c r="N501" s="83"/>
      <c r="O501" s="84">
        <f>L501+M501+N501</f>
        <v>0</v>
      </c>
      <c r="P501" s="55"/>
      <c r="Q501" s="53"/>
    </row>
    <row r="502" spans="1:17" ht="12.75">
      <c r="A502" s="10" t="s">
        <v>153</v>
      </c>
      <c r="B502" s="10"/>
      <c r="C502" s="84">
        <f aca="true" t="shared" si="180" ref="C502:O502">SUM(C503:C505)</f>
        <v>40000</v>
      </c>
      <c r="D502" s="84">
        <f t="shared" si="180"/>
        <v>0</v>
      </c>
      <c r="E502" s="84">
        <f t="shared" si="180"/>
        <v>34341.799999999996</v>
      </c>
      <c r="F502" s="84">
        <f t="shared" si="180"/>
        <v>74341.8</v>
      </c>
      <c r="G502" s="84">
        <f t="shared" si="180"/>
        <v>8518.4</v>
      </c>
      <c r="H502" s="84">
        <f t="shared" si="180"/>
        <v>0</v>
      </c>
      <c r="I502" s="84">
        <f t="shared" si="180"/>
        <v>82860.2</v>
      </c>
      <c r="J502" s="84">
        <f t="shared" si="180"/>
        <v>19200</v>
      </c>
      <c r="K502" s="84">
        <f t="shared" si="180"/>
        <v>0</v>
      </c>
      <c r="L502" s="84">
        <f t="shared" si="180"/>
        <v>102060.2</v>
      </c>
      <c r="M502" s="84">
        <f t="shared" si="180"/>
        <v>0</v>
      </c>
      <c r="N502" s="84">
        <f t="shared" si="180"/>
        <v>0</v>
      </c>
      <c r="O502" s="84">
        <f t="shared" si="180"/>
        <v>102060.2</v>
      </c>
      <c r="P502" s="57"/>
      <c r="Q502" s="45">
        <f>SUM(Q503:Q505)</f>
        <v>102060.2</v>
      </c>
    </row>
    <row r="503" spans="1:17" ht="12.75">
      <c r="A503" s="10" t="s">
        <v>154</v>
      </c>
      <c r="B503" s="10"/>
      <c r="C503" s="84">
        <v>15000</v>
      </c>
      <c r="D503" s="84"/>
      <c r="E503" s="84">
        <v>4717.7</v>
      </c>
      <c r="F503" s="84">
        <f t="shared" si="177"/>
        <v>19717.7</v>
      </c>
      <c r="G503" s="84">
        <v>-7000</v>
      </c>
      <c r="H503" s="84"/>
      <c r="I503" s="84">
        <f>F503+G503+H503</f>
        <v>12717.7</v>
      </c>
      <c r="J503" s="84"/>
      <c r="K503" s="84"/>
      <c r="L503" s="84">
        <f>I503+J503+K503</f>
        <v>12717.7</v>
      </c>
      <c r="M503" s="84"/>
      <c r="N503" s="84"/>
      <c r="O503" s="84">
        <f>L503+M503+N503</f>
        <v>12717.7</v>
      </c>
      <c r="P503" s="55"/>
      <c r="Q503" s="53">
        <f>O503+P503</f>
        <v>12717.7</v>
      </c>
    </row>
    <row r="504" spans="1:17" ht="12.75">
      <c r="A504" s="10" t="s">
        <v>155</v>
      </c>
      <c r="B504" s="10"/>
      <c r="C504" s="84">
        <v>21000</v>
      </c>
      <c r="D504" s="91"/>
      <c r="E504" s="84">
        <v>29624.1</v>
      </c>
      <c r="F504" s="84">
        <f t="shared" si="177"/>
        <v>50624.1</v>
      </c>
      <c r="G504" s="84">
        <f>7000+4618.4+3900</f>
        <v>15518.4</v>
      </c>
      <c r="H504" s="84"/>
      <c r="I504" s="84">
        <f>F504+G504+H504</f>
        <v>66142.5</v>
      </c>
      <c r="J504" s="84">
        <v>19200</v>
      </c>
      <c r="K504" s="84"/>
      <c r="L504" s="84">
        <f>I504+J504+K504</f>
        <v>85342.5</v>
      </c>
      <c r="M504" s="84"/>
      <c r="N504" s="84"/>
      <c r="O504" s="84">
        <f>L504+M504+N504</f>
        <v>85342.5</v>
      </c>
      <c r="P504" s="55"/>
      <c r="Q504" s="53">
        <f>O504+P504</f>
        <v>85342.5</v>
      </c>
    </row>
    <row r="505" spans="1:17" ht="12.75">
      <c r="A505" s="10" t="s">
        <v>151</v>
      </c>
      <c r="B505" s="10"/>
      <c r="C505" s="84">
        <v>4000</v>
      </c>
      <c r="D505" s="84"/>
      <c r="E505" s="84"/>
      <c r="F505" s="84">
        <f t="shared" si="177"/>
        <v>4000</v>
      </c>
      <c r="G505" s="84"/>
      <c r="H505" s="84"/>
      <c r="I505" s="84">
        <f>F505+G505+H505</f>
        <v>4000</v>
      </c>
      <c r="J505" s="84"/>
      <c r="K505" s="84"/>
      <c r="L505" s="84">
        <f>I505+J505+K505</f>
        <v>4000</v>
      </c>
      <c r="M505" s="84"/>
      <c r="N505" s="84"/>
      <c r="O505" s="84">
        <f>L505+M505+N505</f>
        <v>4000</v>
      </c>
      <c r="P505" s="55"/>
      <c r="Q505" s="53">
        <f>O505+P505</f>
        <v>4000</v>
      </c>
    </row>
    <row r="506" spans="1:17" ht="12.75">
      <c r="A506" s="11" t="s">
        <v>182</v>
      </c>
      <c r="B506" s="11"/>
      <c r="C506" s="84"/>
      <c r="D506" s="84"/>
      <c r="E506" s="84"/>
      <c r="F506" s="84">
        <f t="shared" si="177"/>
        <v>0</v>
      </c>
      <c r="G506" s="84"/>
      <c r="H506" s="84"/>
      <c r="I506" s="84">
        <f>F506+G506+H506</f>
        <v>0</v>
      </c>
      <c r="J506" s="84"/>
      <c r="K506" s="84"/>
      <c r="L506" s="84">
        <f>I506+J506+K506</f>
        <v>0</v>
      </c>
      <c r="M506" s="84"/>
      <c r="N506" s="84"/>
      <c r="O506" s="84">
        <f>L506+M506+N506</f>
        <v>0</v>
      </c>
      <c r="P506" s="55"/>
      <c r="Q506" s="53">
        <f>O506+P506</f>
        <v>0</v>
      </c>
    </row>
    <row r="507" spans="1:17" ht="12.75">
      <c r="A507" s="10" t="s">
        <v>156</v>
      </c>
      <c r="B507" s="10"/>
      <c r="C507" s="84">
        <f aca="true" t="shared" si="181" ref="C507:Q507">C508+C509+C510</f>
        <v>1000</v>
      </c>
      <c r="D507" s="84">
        <f t="shared" si="181"/>
        <v>0</v>
      </c>
      <c r="E507" s="84">
        <f t="shared" si="181"/>
        <v>711</v>
      </c>
      <c r="F507" s="84">
        <f t="shared" si="181"/>
        <v>1711</v>
      </c>
      <c r="G507" s="84">
        <f t="shared" si="181"/>
        <v>0</v>
      </c>
      <c r="H507" s="84">
        <f t="shared" si="181"/>
        <v>232.9</v>
      </c>
      <c r="I507" s="84">
        <f t="shared" si="181"/>
        <v>1943.9</v>
      </c>
      <c r="J507" s="84">
        <f t="shared" si="181"/>
        <v>0</v>
      </c>
      <c r="K507" s="84">
        <f t="shared" si="181"/>
        <v>0</v>
      </c>
      <c r="L507" s="84">
        <f t="shared" si="181"/>
        <v>1943.9</v>
      </c>
      <c r="M507" s="84">
        <f t="shared" si="181"/>
        <v>2000</v>
      </c>
      <c r="N507" s="84">
        <f t="shared" si="181"/>
        <v>0</v>
      </c>
      <c r="O507" s="84">
        <f t="shared" si="181"/>
        <v>3943.9</v>
      </c>
      <c r="P507" s="57"/>
      <c r="Q507" s="45">
        <f t="shared" si="181"/>
        <v>3943.9</v>
      </c>
    </row>
    <row r="508" spans="1:17" ht="12.75">
      <c r="A508" s="10" t="s">
        <v>157</v>
      </c>
      <c r="B508" s="10"/>
      <c r="C508" s="84">
        <v>1000</v>
      </c>
      <c r="D508" s="84"/>
      <c r="E508" s="84">
        <v>80</v>
      </c>
      <c r="F508" s="84">
        <f t="shared" si="177"/>
        <v>1080</v>
      </c>
      <c r="G508" s="84"/>
      <c r="H508" s="84">
        <v>31</v>
      </c>
      <c r="I508" s="84">
        <f>F508+G508+H508</f>
        <v>1111</v>
      </c>
      <c r="J508" s="84"/>
      <c r="K508" s="84"/>
      <c r="L508" s="84">
        <f>I508+J508+K508</f>
        <v>1111</v>
      </c>
      <c r="M508" s="84"/>
      <c r="N508" s="84"/>
      <c r="O508" s="84">
        <f>L508+M508+N508</f>
        <v>1111</v>
      </c>
      <c r="P508" s="55"/>
      <c r="Q508" s="53">
        <f>O508+P508</f>
        <v>1111</v>
      </c>
    </row>
    <row r="509" spans="1:17" ht="12.75">
      <c r="A509" s="10" t="s">
        <v>155</v>
      </c>
      <c r="B509" s="10"/>
      <c r="C509" s="84"/>
      <c r="D509" s="84"/>
      <c r="E509" s="84">
        <v>631</v>
      </c>
      <c r="F509" s="84">
        <f t="shared" si="177"/>
        <v>631</v>
      </c>
      <c r="G509" s="84"/>
      <c r="H509" s="84"/>
      <c r="I509" s="84">
        <f>F509+G509+H509</f>
        <v>631</v>
      </c>
      <c r="J509" s="84"/>
      <c r="K509" s="84"/>
      <c r="L509" s="84">
        <f>I509+J509+K509</f>
        <v>631</v>
      </c>
      <c r="M509" s="84">
        <f>2000+201.9</f>
        <v>2201.9</v>
      </c>
      <c r="N509" s="84"/>
      <c r="O509" s="84">
        <f>L509+M509+N509</f>
        <v>2832.9</v>
      </c>
      <c r="P509" s="55"/>
      <c r="Q509" s="53">
        <f>O509+P509</f>
        <v>2832.9</v>
      </c>
    </row>
    <row r="510" spans="1:17" ht="12.75" customHeight="1">
      <c r="A510" s="10" t="s">
        <v>151</v>
      </c>
      <c r="B510" s="10"/>
      <c r="C510" s="84"/>
      <c r="D510" s="84"/>
      <c r="E510" s="84"/>
      <c r="F510" s="84">
        <f t="shared" si="177"/>
        <v>0</v>
      </c>
      <c r="G510" s="84"/>
      <c r="H510" s="84">
        <v>201.9</v>
      </c>
      <c r="I510" s="84">
        <f>F510+G510+H510</f>
        <v>201.9</v>
      </c>
      <c r="J510" s="84"/>
      <c r="K510" s="84"/>
      <c r="L510" s="84">
        <f>I510+J510+K510</f>
        <v>201.9</v>
      </c>
      <c r="M510" s="84">
        <v>-201.9</v>
      </c>
      <c r="N510" s="84"/>
      <c r="O510" s="84">
        <f>L510+M510+N510</f>
        <v>0</v>
      </c>
      <c r="P510" s="55"/>
      <c r="Q510" s="53">
        <f>O510+P510</f>
        <v>0</v>
      </c>
    </row>
    <row r="511" spans="1:17" ht="12.75">
      <c r="A511" s="10" t="s">
        <v>158</v>
      </c>
      <c r="B511" s="10"/>
      <c r="C511" s="84">
        <f aca="true" t="shared" si="182" ref="C511:O511">SUM(C512:C516)</f>
        <v>30000</v>
      </c>
      <c r="D511" s="84">
        <f t="shared" si="182"/>
        <v>0</v>
      </c>
      <c r="E511" s="84">
        <f t="shared" si="182"/>
        <v>0</v>
      </c>
      <c r="F511" s="84">
        <f t="shared" si="182"/>
        <v>30000</v>
      </c>
      <c r="G511" s="84">
        <f t="shared" si="182"/>
        <v>18100</v>
      </c>
      <c r="H511" s="84">
        <f t="shared" si="182"/>
        <v>12303.4</v>
      </c>
      <c r="I511" s="84">
        <f t="shared" si="182"/>
        <v>60403.4</v>
      </c>
      <c r="J511" s="84">
        <f t="shared" si="182"/>
        <v>2600</v>
      </c>
      <c r="K511" s="84">
        <f t="shared" si="182"/>
        <v>2000</v>
      </c>
      <c r="L511" s="84">
        <f t="shared" si="182"/>
        <v>65003.4</v>
      </c>
      <c r="M511" s="84">
        <f t="shared" si="182"/>
        <v>-2000</v>
      </c>
      <c r="N511" s="84">
        <f t="shared" si="182"/>
        <v>0</v>
      </c>
      <c r="O511" s="84">
        <f t="shared" si="182"/>
        <v>63003.4</v>
      </c>
      <c r="P511" s="57"/>
      <c r="Q511" s="45">
        <f>SUM(Q512:Q516)</f>
        <v>63003.4</v>
      </c>
    </row>
    <row r="512" spans="1:17" ht="12.75">
      <c r="A512" s="10" t="s">
        <v>159</v>
      </c>
      <c r="B512" s="10"/>
      <c r="C512" s="84">
        <v>13500</v>
      </c>
      <c r="D512" s="91"/>
      <c r="E512" s="84"/>
      <c r="F512" s="84">
        <f t="shared" si="177"/>
        <v>13500</v>
      </c>
      <c r="G512" s="84">
        <v>13880</v>
      </c>
      <c r="H512" s="84">
        <v>8802</v>
      </c>
      <c r="I512" s="84">
        <f>F512+G512+H512</f>
        <v>36182</v>
      </c>
      <c r="J512" s="84">
        <f>-3100+400</f>
        <v>-2700</v>
      </c>
      <c r="K512" s="84">
        <v>500</v>
      </c>
      <c r="L512" s="84">
        <f>I512+J512+K512</f>
        <v>33982</v>
      </c>
      <c r="M512" s="84"/>
      <c r="N512" s="84"/>
      <c r="O512" s="84">
        <f>L512+M512+N512</f>
        <v>33982</v>
      </c>
      <c r="P512" s="55"/>
      <c r="Q512" s="53">
        <f aca="true" t="shared" si="183" ref="Q512:Q552">O512+P512</f>
        <v>33982</v>
      </c>
    </row>
    <row r="513" spans="1:17" ht="12.75">
      <c r="A513" s="10" t="s">
        <v>160</v>
      </c>
      <c r="B513" s="10"/>
      <c r="C513" s="84">
        <v>10000</v>
      </c>
      <c r="D513" s="84"/>
      <c r="E513" s="84"/>
      <c r="F513" s="84">
        <f t="shared" si="177"/>
        <v>10000</v>
      </c>
      <c r="G513" s="84">
        <v>4220</v>
      </c>
      <c r="H513" s="84">
        <v>3501.4</v>
      </c>
      <c r="I513" s="84">
        <f>F513+G513+H513</f>
        <v>17721.4</v>
      </c>
      <c r="J513" s="84">
        <f>4600+300</f>
        <v>4900</v>
      </c>
      <c r="K513" s="84">
        <v>600</v>
      </c>
      <c r="L513" s="84">
        <f>I513+J513+K513</f>
        <v>23221.4</v>
      </c>
      <c r="M513" s="84"/>
      <c r="N513" s="84"/>
      <c r="O513" s="84">
        <f>L513+M513+N513</f>
        <v>23221.4</v>
      </c>
      <c r="P513" s="55"/>
      <c r="Q513" s="53">
        <f t="shared" si="183"/>
        <v>23221.4</v>
      </c>
    </row>
    <row r="514" spans="1:17" ht="13.5" customHeight="1">
      <c r="A514" s="10" t="s">
        <v>161</v>
      </c>
      <c r="B514" s="10"/>
      <c r="C514" s="84">
        <v>3500</v>
      </c>
      <c r="D514" s="84"/>
      <c r="E514" s="84"/>
      <c r="F514" s="84">
        <f t="shared" si="177"/>
        <v>3500</v>
      </c>
      <c r="G514" s="84"/>
      <c r="H514" s="84"/>
      <c r="I514" s="84">
        <f>F514+G514+H514</f>
        <v>3500</v>
      </c>
      <c r="J514" s="84">
        <v>2000</v>
      </c>
      <c r="K514" s="84"/>
      <c r="L514" s="84">
        <f>I514+J514+K514</f>
        <v>5500</v>
      </c>
      <c r="M514" s="84">
        <v>-2000</v>
      </c>
      <c r="N514" s="84"/>
      <c r="O514" s="84">
        <f>L514+M514+N514</f>
        <v>3500</v>
      </c>
      <c r="P514" s="55"/>
      <c r="Q514" s="53">
        <f t="shared" si="183"/>
        <v>3500</v>
      </c>
    </row>
    <row r="515" spans="1:17" ht="13.5" customHeight="1">
      <c r="A515" s="11" t="s">
        <v>182</v>
      </c>
      <c r="B515" s="11"/>
      <c r="C515" s="84"/>
      <c r="D515" s="84"/>
      <c r="E515" s="84"/>
      <c r="F515" s="84">
        <f t="shared" si="177"/>
        <v>0</v>
      </c>
      <c r="G515" s="84"/>
      <c r="H515" s="84"/>
      <c r="I515" s="84">
        <f>F515+G515+H515</f>
        <v>0</v>
      </c>
      <c r="J515" s="84">
        <v>300</v>
      </c>
      <c r="K515" s="84"/>
      <c r="L515" s="84">
        <f>I515+J515+K515</f>
        <v>300</v>
      </c>
      <c r="M515" s="84"/>
      <c r="N515" s="84"/>
      <c r="O515" s="84">
        <f>L515+M515+N515</f>
        <v>300</v>
      </c>
      <c r="P515" s="55"/>
      <c r="Q515" s="53">
        <f t="shared" si="183"/>
        <v>300</v>
      </c>
    </row>
    <row r="516" spans="1:17" ht="12.75">
      <c r="A516" s="19" t="s">
        <v>162</v>
      </c>
      <c r="B516" s="19"/>
      <c r="C516" s="88">
        <v>3000</v>
      </c>
      <c r="D516" s="88"/>
      <c r="E516" s="88"/>
      <c r="F516" s="88">
        <f t="shared" si="177"/>
        <v>3000</v>
      </c>
      <c r="G516" s="88"/>
      <c r="H516" s="88"/>
      <c r="I516" s="88">
        <f>F516+G516+H516</f>
        <v>3000</v>
      </c>
      <c r="J516" s="88">
        <v>-1900</v>
      </c>
      <c r="K516" s="88">
        <f>2000-1100</f>
        <v>900</v>
      </c>
      <c r="L516" s="88">
        <f>I516+J516+K516</f>
        <v>2000</v>
      </c>
      <c r="M516" s="88"/>
      <c r="N516" s="88"/>
      <c r="O516" s="88">
        <f>L516+M516+N516</f>
        <v>2000</v>
      </c>
      <c r="P516" s="55"/>
      <c r="Q516" s="53">
        <f t="shared" si="183"/>
        <v>2000</v>
      </c>
    </row>
    <row r="517" spans="1:17" ht="12.75">
      <c r="A517" s="10" t="s">
        <v>163</v>
      </c>
      <c r="B517" s="10"/>
      <c r="C517" s="84">
        <f aca="true" t="shared" si="184" ref="C517:O517">SUM(C518:C524)</f>
        <v>65000</v>
      </c>
      <c r="D517" s="84">
        <f t="shared" si="184"/>
        <v>0</v>
      </c>
      <c r="E517" s="84">
        <f t="shared" si="184"/>
        <v>26580.8</v>
      </c>
      <c r="F517" s="84">
        <f t="shared" si="184"/>
        <v>91580.8</v>
      </c>
      <c r="G517" s="84">
        <f t="shared" si="184"/>
        <v>12800</v>
      </c>
      <c r="H517" s="84">
        <f t="shared" si="184"/>
        <v>0</v>
      </c>
      <c r="I517" s="84">
        <f t="shared" si="184"/>
        <v>104380.8</v>
      </c>
      <c r="J517" s="84">
        <f t="shared" si="184"/>
        <v>4192.1</v>
      </c>
      <c r="K517" s="84">
        <f t="shared" si="184"/>
        <v>185.80000000000064</v>
      </c>
      <c r="L517" s="84">
        <f t="shared" si="184"/>
        <v>108758.70000000001</v>
      </c>
      <c r="M517" s="84">
        <f t="shared" si="184"/>
        <v>0</v>
      </c>
      <c r="N517" s="84">
        <f t="shared" si="184"/>
        <v>0</v>
      </c>
      <c r="O517" s="84">
        <f t="shared" si="184"/>
        <v>108758.70000000001</v>
      </c>
      <c r="P517" s="57"/>
      <c r="Q517" s="45">
        <f>SUM(Q518:Q524)</f>
        <v>108758.70000000001</v>
      </c>
    </row>
    <row r="518" spans="1:17" ht="12.75">
      <c r="A518" s="10" t="s">
        <v>164</v>
      </c>
      <c r="B518" s="10"/>
      <c r="C518" s="84">
        <v>5700</v>
      </c>
      <c r="D518" s="84"/>
      <c r="E518" s="84">
        <v>20384.3</v>
      </c>
      <c r="F518" s="84">
        <f t="shared" si="177"/>
        <v>26084.3</v>
      </c>
      <c r="G518" s="84">
        <f>150+6800</f>
        <v>6950</v>
      </c>
      <c r="H518" s="84">
        <v>4500</v>
      </c>
      <c r="I518" s="84">
        <f aca="true" t="shared" si="185" ref="I518:I524">F518+G518+H518</f>
        <v>37534.3</v>
      </c>
      <c r="J518" s="84">
        <f>51.8+120</f>
        <v>171.8</v>
      </c>
      <c r="K518" s="84">
        <v>508</v>
      </c>
      <c r="L518" s="84">
        <f aca="true" t="shared" si="186" ref="L518:L524">I518+J518+K518</f>
        <v>38214.100000000006</v>
      </c>
      <c r="M518" s="84">
        <f>180-3273.4</f>
        <v>-3093.4</v>
      </c>
      <c r="N518" s="84"/>
      <c r="O518" s="84">
        <f aca="true" t="shared" si="187" ref="O518:O524">L518+M518+N518</f>
        <v>35120.700000000004</v>
      </c>
      <c r="P518" s="55"/>
      <c r="Q518" s="53">
        <f t="shared" si="183"/>
        <v>35120.700000000004</v>
      </c>
    </row>
    <row r="519" spans="1:17" ht="12.75">
      <c r="A519" s="10" t="s">
        <v>165</v>
      </c>
      <c r="B519" s="10"/>
      <c r="C519" s="84">
        <v>36600</v>
      </c>
      <c r="D519" s="84"/>
      <c r="E519" s="84">
        <v>3542.9</v>
      </c>
      <c r="F519" s="84">
        <f t="shared" si="177"/>
        <v>40142.9</v>
      </c>
      <c r="G519" s="84"/>
      <c r="H519" s="84">
        <v>6411.3</v>
      </c>
      <c r="I519" s="84">
        <f t="shared" si="185"/>
        <v>46554.200000000004</v>
      </c>
      <c r="J519" s="84">
        <v>1382</v>
      </c>
      <c r="K519" s="84">
        <v>-687.7</v>
      </c>
      <c r="L519" s="84">
        <f t="shared" si="186"/>
        <v>47248.50000000001</v>
      </c>
      <c r="M519" s="84">
        <f>-180</f>
        <v>-180</v>
      </c>
      <c r="N519" s="84"/>
      <c r="O519" s="84">
        <f t="shared" si="187"/>
        <v>47068.50000000001</v>
      </c>
      <c r="P519" s="55"/>
      <c r="Q519" s="53">
        <f t="shared" si="183"/>
        <v>47068.50000000001</v>
      </c>
    </row>
    <row r="520" spans="1:17" ht="12.75">
      <c r="A520" s="10" t="s">
        <v>166</v>
      </c>
      <c r="B520" s="10"/>
      <c r="C520" s="84"/>
      <c r="D520" s="91"/>
      <c r="E520" s="84"/>
      <c r="F520" s="84">
        <f t="shared" si="177"/>
        <v>0</v>
      </c>
      <c r="G520" s="84"/>
      <c r="H520" s="84"/>
      <c r="I520" s="84">
        <f t="shared" si="185"/>
        <v>0</v>
      </c>
      <c r="J520" s="84">
        <v>800</v>
      </c>
      <c r="K520" s="84">
        <v>380</v>
      </c>
      <c r="L520" s="84">
        <f t="shared" si="186"/>
        <v>1180</v>
      </c>
      <c r="M520" s="84"/>
      <c r="N520" s="84"/>
      <c r="O520" s="84">
        <f t="shared" si="187"/>
        <v>1180</v>
      </c>
      <c r="P520" s="55"/>
      <c r="Q520" s="53">
        <f t="shared" si="183"/>
        <v>1180</v>
      </c>
    </row>
    <row r="521" spans="1:17" ht="12.75">
      <c r="A521" s="10" t="s">
        <v>167</v>
      </c>
      <c r="B521" s="10"/>
      <c r="C521" s="84">
        <v>8250</v>
      </c>
      <c r="D521" s="84"/>
      <c r="E521" s="84"/>
      <c r="F521" s="84">
        <f t="shared" si="177"/>
        <v>8250</v>
      </c>
      <c r="G521" s="84">
        <v>6000</v>
      </c>
      <c r="H521" s="84"/>
      <c r="I521" s="84">
        <f t="shared" si="185"/>
        <v>14250</v>
      </c>
      <c r="J521" s="84"/>
      <c r="K521" s="84"/>
      <c r="L521" s="84">
        <f t="shared" si="186"/>
        <v>14250</v>
      </c>
      <c r="M521" s="84"/>
      <c r="N521" s="84"/>
      <c r="O521" s="84">
        <f t="shared" si="187"/>
        <v>14250</v>
      </c>
      <c r="P521" s="55"/>
      <c r="Q521" s="53">
        <f t="shared" si="183"/>
        <v>14250</v>
      </c>
    </row>
    <row r="522" spans="1:17" ht="12.75">
      <c r="A522" s="10" t="s">
        <v>168</v>
      </c>
      <c r="B522" s="10"/>
      <c r="C522" s="84"/>
      <c r="D522" s="84"/>
      <c r="E522" s="84">
        <v>114.1</v>
      </c>
      <c r="F522" s="84">
        <f t="shared" si="177"/>
        <v>114.1</v>
      </c>
      <c r="G522" s="84"/>
      <c r="H522" s="84"/>
      <c r="I522" s="84">
        <f t="shared" si="185"/>
        <v>114.1</v>
      </c>
      <c r="J522" s="91"/>
      <c r="K522" s="84"/>
      <c r="L522" s="84">
        <f t="shared" si="186"/>
        <v>114.1</v>
      </c>
      <c r="M522" s="84"/>
      <c r="N522" s="84"/>
      <c r="O522" s="84">
        <f t="shared" si="187"/>
        <v>114.1</v>
      </c>
      <c r="P522" s="55"/>
      <c r="Q522" s="53">
        <f t="shared" si="183"/>
        <v>114.1</v>
      </c>
    </row>
    <row r="523" spans="1:17" ht="12.75">
      <c r="A523" s="10" t="s">
        <v>169</v>
      </c>
      <c r="B523" s="10"/>
      <c r="C523" s="84">
        <v>7450</v>
      </c>
      <c r="D523" s="84"/>
      <c r="E523" s="84">
        <v>2539.5</v>
      </c>
      <c r="F523" s="84">
        <f t="shared" si="177"/>
        <v>9989.5</v>
      </c>
      <c r="G523" s="84">
        <v>67.5</v>
      </c>
      <c r="H523" s="84">
        <v>-6916.6</v>
      </c>
      <c r="I523" s="84">
        <f t="shared" si="185"/>
        <v>3140.3999999999996</v>
      </c>
      <c r="J523" s="84">
        <v>1890</v>
      </c>
      <c r="K523" s="84">
        <v>2489.3</v>
      </c>
      <c r="L523" s="84">
        <f t="shared" si="186"/>
        <v>7519.7</v>
      </c>
      <c r="M523" s="84">
        <v>3500</v>
      </c>
      <c r="N523" s="84"/>
      <c r="O523" s="84">
        <f t="shared" si="187"/>
        <v>11019.7</v>
      </c>
      <c r="P523" s="55"/>
      <c r="Q523" s="53">
        <f t="shared" si="183"/>
        <v>11019.7</v>
      </c>
    </row>
    <row r="524" spans="1:17" ht="12.75">
      <c r="A524" s="10" t="s">
        <v>162</v>
      </c>
      <c r="B524" s="10"/>
      <c r="C524" s="84">
        <v>7000</v>
      </c>
      <c r="D524" s="84"/>
      <c r="E524" s="84"/>
      <c r="F524" s="84">
        <f t="shared" si="177"/>
        <v>7000</v>
      </c>
      <c r="G524" s="84">
        <v>-217.5</v>
      </c>
      <c r="H524" s="84">
        <v>-3994.7</v>
      </c>
      <c r="I524" s="84">
        <f t="shared" si="185"/>
        <v>2787.8</v>
      </c>
      <c r="J524" s="84">
        <f>-51.8+0.1</f>
        <v>-51.699999999999996</v>
      </c>
      <c r="K524" s="84">
        <f>-2689.6+185.8</f>
        <v>-2503.7999999999997</v>
      </c>
      <c r="L524" s="84">
        <f t="shared" si="186"/>
        <v>232.30000000000064</v>
      </c>
      <c r="M524" s="84">
        <v>-226.6</v>
      </c>
      <c r="N524" s="84"/>
      <c r="O524" s="84">
        <f t="shared" si="187"/>
        <v>5.700000000000642</v>
      </c>
      <c r="P524" s="55"/>
      <c r="Q524" s="53">
        <f t="shared" si="183"/>
        <v>5.700000000000642</v>
      </c>
    </row>
    <row r="525" spans="1:17" ht="12.75">
      <c r="A525" s="10" t="s">
        <v>170</v>
      </c>
      <c r="B525" s="10"/>
      <c r="C525" s="84">
        <f aca="true" t="shared" si="188" ref="C525:O525">SUM(C526:C529)</f>
        <v>2000</v>
      </c>
      <c r="D525" s="84">
        <f t="shared" si="188"/>
        <v>0</v>
      </c>
      <c r="E525" s="84">
        <f t="shared" si="188"/>
        <v>0</v>
      </c>
      <c r="F525" s="84">
        <f t="shared" si="188"/>
        <v>2000</v>
      </c>
      <c r="G525" s="84">
        <f t="shared" si="188"/>
        <v>0</v>
      </c>
      <c r="H525" s="84">
        <f t="shared" si="188"/>
        <v>0</v>
      </c>
      <c r="I525" s="84">
        <f t="shared" si="188"/>
        <v>2000</v>
      </c>
      <c r="J525" s="84">
        <f t="shared" si="188"/>
        <v>0</v>
      </c>
      <c r="K525" s="84">
        <f t="shared" si="188"/>
        <v>258.5</v>
      </c>
      <c r="L525" s="84">
        <f t="shared" si="188"/>
        <v>2258.5</v>
      </c>
      <c r="M525" s="84">
        <f t="shared" si="188"/>
        <v>0</v>
      </c>
      <c r="N525" s="84">
        <f t="shared" si="188"/>
        <v>0</v>
      </c>
      <c r="O525" s="84">
        <f t="shared" si="188"/>
        <v>2258.5</v>
      </c>
      <c r="P525" s="57"/>
      <c r="Q525" s="45">
        <f>SUM(Q526:Q529)</f>
        <v>2258.5</v>
      </c>
    </row>
    <row r="526" spans="1:17" ht="12.75">
      <c r="A526" s="10" t="s">
        <v>159</v>
      </c>
      <c r="B526" s="10"/>
      <c r="C526" s="84">
        <v>800</v>
      </c>
      <c r="D526" s="84"/>
      <c r="E526" s="84"/>
      <c r="F526" s="84">
        <f t="shared" si="177"/>
        <v>800</v>
      </c>
      <c r="G526" s="84"/>
      <c r="H526" s="84"/>
      <c r="I526" s="84">
        <f>F526+G526+H526</f>
        <v>800</v>
      </c>
      <c r="J526" s="84"/>
      <c r="K526" s="84">
        <v>390</v>
      </c>
      <c r="L526" s="84">
        <f>I526+J526+K526</f>
        <v>1190</v>
      </c>
      <c r="M526" s="84"/>
      <c r="N526" s="84"/>
      <c r="O526" s="84">
        <f>L526+M526+N526</f>
        <v>1190</v>
      </c>
      <c r="P526" s="55"/>
      <c r="Q526" s="53">
        <f t="shared" si="183"/>
        <v>1190</v>
      </c>
    </row>
    <row r="527" spans="1:17" ht="12.75">
      <c r="A527" s="10" t="s">
        <v>160</v>
      </c>
      <c r="B527" s="10"/>
      <c r="C527" s="84"/>
      <c r="D527" s="84"/>
      <c r="E527" s="84"/>
      <c r="F527" s="84">
        <f t="shared" si="177"/>
        <v>0</v>
      </c>
      <c r="G527" s="84"/>
      <c r="H527" s="84"/>
      <c r="I527" s="84">
        <f>F527+G527+H527</f>
        <v>0</v>
      </c>
      <c r="J527" s="84"/>
      <c r="K527" s="84"/>
      <c r="L527" s="84">
        <f>I527+J527+K527</f>
        <v>0</v>
      </c>
      <c r="M527" s="84"/>
      <c r="N527" s="84"/>
      <c r="O527" s="84">
        <f>L527+M527+N527</f>
        <v>0</v>
      </c>
      <c r="P527" s="55"/>
      <c r="Q527" s="53">
        <f t="shared" si="183"/>
        <v>0</v>
      </c>
    </row>
    <row r="528" spans="1:17" ht="12.75">
      <c r="A528" s="10" t="s">
        <v>161</v>
      </c>
      <c r="B528" s="10"/>
      <c r="C528" s="84">
        <v>550</v>
      </c>
      <c r="D528" s="84"/>
      <c r="E528" s="84"/>
      <c r="F528" s="84">
        <f t="shared" si="177"/>
        <v>550</v>
      </c>
      <c r="G528" s="84"/>
      <c r="H528" s="84"/>
      <c r="I528" s="84">
        <f>F528+G528+H528</f>
        <v>550</v>
      </c>
      <c r="J528" s="84"/>
      <c r="K528" s="84"/>
      <c r="L528" s="84">
        <f>I528+J528+K528</f>
        <v>550</v>
      </c>
      <c r="M528" s="84">
        <v>100</v>
      </c>
      <c r="N528" s="84"/>
      <c r="O528" s="84">
        <f>L528+M528+N528</f>
        <v>650</v>
      </c>
      <c r="P528" s="55"/>
      <c r="Q528" s="53">
        <f t="shared" si="183"/>
        <v>650</v>
      </c>
    </row>
    <row r="529" spans="1:17" ht="12.75">
      <c r="A529" s="10" t="s">
        <v>162</v>
      </c>
      <c r="B529" s="10"/>
      <c r="C529" s="84">
        <v>650</v>
      </c>
      <c r="D529" s="84"/>
      <c r="E529" s="84"/>
      <c r="F529" s="84">
        <f t="shared" si="177"/>
        <v>650</v>
      </c>
      <c r="G529" s="84"/>
      <c r="H529" s="84"/>
      <c r="I529" s="84">
        <f>F529+G529+H529</f>
        <v>650</v>
      </c>
      <c r="J529" s="84"/>
      <c r="K529" s="84">
        <f>-390+258.5</f>
        <v>-131.5</v>
      </c>
      <c r="L529" s="84">
        <f>I529+J529+K529</f>
        <v>518.5</v>
      </c>
      <c r="M529" s="84">
        <v>-100</v>
      </c>
      <c r="N529" s="84"/>
      <c r="O529" s="84">
        <f>L529+M529+N529</f>
        <v>418.5</v>
      </c>
      <c r="P529" s="55"/>
      <c r="Q529" s="53">
        <f t="shared" si="183"/>
        <v>418.5</v>
      </c>
    </row>
    <row r="530" spans="1:17" ht="12.75">
      <c r="A530" s="10" t="s">
        <v>171</v>
      </c>
      <c r="B530" s="10"/>
      <c r="C530" s="84">
        <f aca="true" t="shared" si="189" ref="C530:O530">SUM(C531:C535)</f>
        <v>12000</v>
      </c>
      <c r="D530" s="84">
        <f t="shared" si="189"/>
        <v>0</v>
      </c>
      <c r="E530" s="84">
        <f t="shared" si="189"/>
        <v>14809.6</v>
      </c>
      <c r="F530" s="84">
        <f t="shared" si="189"/>
        <v>26809.600000000002</v>
      </c>
      <c r="G530" s="84">
        <f t="shared" si="189"/>
        <v>13000</v>
      </c>
      <c r="H530" s="84">
        <f t="shared" si="189"/>
        <v>0</v>
      </c>
      <c r="I530" s="84">
        <f t="shared" si="189"/>
        <v>39809.6</v>
      </c>
      <c r="J530" s="84">
        <f t="shared" si="189"/>
        <v>-2780</v>
      </c>
      <c r="K530" s="84">
        <f t="shared" si="189"/>
        <v>77.5</v>
      </c>
      <c r="L530" s="84">
        <f t="shared" si="189"/>
        <v>37107.1</v>
      </c>
      <c r="M530" s="84">
        <f t="shared" si="189"/>
        <v>0</v>
      </c>
      <c r="N530" s="84">
        <f t="shared" si="189"/>
        <v>0</v>
      </c>
      <c r="O530" s="84">
        <f t="shared" si="189"/>
        <v>37107.1</v>
      </c>
      <c r="P530" s="57"/>
      <c r="Q530" s="45">
        <f>SUM(Q531:Q535)</f>
        <v>37107.1</v>
      </c>
    </row>
    <row r="531" spans="1:17" ht="12.75">
      <c r="A531" s="10" t="s">
        <v>159</v>
      </c>
      <c r="B531" s="10"/>
      <c r="C531" s="84"/>
      <c r="D531" s="84"/>
      <c r="E531" s="84">
        <v>273.7</v>
      </c>
      <c r="F531" s="84">
        <f t="shared" si="177"/>
        <v>273.7</v>
      </c>
      <c r="G531" s="84"/>
      <c r="H531" s="84"/>
      <c r="I531" s="84">
        <f>F531+G531+H531</f>
        <v>273.7</v>
      </c>
      <c r="J531" s="84">
        <v>242</v>
      </c>
      <c r="K531" s="84">
        <v>2960</v>
      </c>
      <c r="L531" s="84">
        <f aca="true" t="shared" si="190" ref="L531:L539">I531+J531+K531</f>
        <v>3475.7</v>
      </c>
      <c r="M531" s="84">
        <f>-680</f>
        <v>-680</v>
      </c>
      <c r="N531" s="84"/>
      <c r="O531" s="84">
        <f aca="true" t="shared" si="191" ref="O531:O539">L531+M531+N531</f>
        <v>2795.7</v>
      </c>
      <c r="P531" s="55"/>
      <c r="Q531" s="53">
        <f t="shared" si="183"/>
        <v>2795.7</v>
      </c>
    </row>
    <row r="532" spans="1:17" ht="12.75">
      <c r="A532" s="10" t="s">
        <v>160</v>
      </c>
      <c r="B532" s="10"/>
      <c r="C532" s="84"/>
      <c r="D532" s="84"/>
      <c r="E532" s="84"/>
      <c r="F532" s="84">
        <f t="shared" si="177"/>
        <v>0</v>
      </c>
      <c r="G532" s="84"/>
      <c r="H532" s="84"/>
      <c r="I532" s="84">
        <f>F532+G532+H532</f>
        <v>0</v>
      </c>
      <c r="J532" s="84"/>
      <c r="K532" s="84"/>
      <c r="L532" s="84">
        <f t="shared" si="190"/>
        <v>0</v>
      </c>
      <c r="M532" s="84">
        <v>850</v>
      </c>
      <c r="N532" s="84"/>
      <c r="O532" s="84">
        <f t="shared" si="191"/>
        <v>850</v>
      </c>
      <c r="P532" s="55"/>
      <c r="Q532" s="53">
        <f t="shared" si="183"/>
        <v>850</v>
      </c>
    </row>
    <row r="533" spans="1:17" ht="12.75">
      <c r="A533" s="10" t="s">
        <v>172</v>
      </c>
      <c r="B533" s="10"/>
      <c r="C533" s="84">
        <v>10800</v>
      </c>
      <c r="D533" s="84"/>
      <c r="E533" s="84">
        <v>12707.4</v>
      </c>
      <c r="F533" s="84">
        <f t="shared" si="177"/>
        <v>23507.4</v>
      </c>
      <c r="G533" s="84">
        <f>13000</f>
        <v>13000</v>
      </c>
      <c r="H533" s="84"/>
      <c r="I533" s="84">
        <f>F533+G533+H533</f>
        <v>36507.4</v>
      </c>
      <c r="J533" s="84"/>
      <c r="K533" s="84">
        <v>-2960</v>
      </c>
      <c r="L533" s="84">
        <f t="shared" si="190"/>
        <v>33547.4</v>
      </c>
      <c r="M533" s="84">
        <f>-170</f>
        <v>-170</v>
      </c>
      <c r="N533" s="84"/>
      <c r="O533" s="84">
        <f t="shared" si="191"/>
        <v>33377.4</v>
      </c>
      <c r="P533" s="55"/>
      <c r="Q533" s="53">
        <f t="shared" si="183"/>
        <v>33377.4</v>
      </c>
    </row>
    <row r="534" spans="1:17" ht="12.75" hidden="1">
      <c r="A534" s="10" t="s">
        <v>169</v>
      </c>
      <c r="B534" s="10"/>
      <c r="C534" s="84"/>
      <c r="D534" s="84"/>
      <c r="E534" s="84"/>
      <c r="F534" s="84">
        <f t="shared" si="177"/>
        <v>0</v>
      </c>
      <c r="G534" s="84"/>
      <c r="H534" s="84"/>
      <c r="I534" s="84">
        <f>F534+G534+H534</f>
        <v>0</v>
      </c>
      <c r="J534" s="84"/>
      <c r="K534" s="84"/>
      <c r="L534" s="84">
        <f t="shared" si="190"/>
        <v>0</v>
      </c>
      <c r="M534" s="84"/>
      <c r="N534" s="84"/>
      <c r="O534" s="84">
        <f t="shared" si="191"/>
        <v>0</v>
      </c>
      <c r="P534" s="55"/>
      <c r="Q534" s="53">
        <f t="shared" si="183"/>
        <v>0</v>
      </c>
    </row>
    <row r="535" spans="1:17" ht="12.75">
      <c r="A535" s="10" t="s">
        <v>162</v>
      </c>
      <c r="B535" s="10"/>
      <c r="C535" s="84">
        <v>1200</v>
      </c>
      <c r="D535" s="91"/>
      <c r="E535" s="84">
        <v>1828.5</v>
      </c>
      <c r="F535" s="84">
        <f t="shared" si="177"/>
        <v>3028.5</v>
      </c>
      <c r="G535" s="84"/>
      <c r="H535" s="84"/>
      <c r="I535" s="84">
        <f>F535+G535+H535</f>
        <v>3028.5</v>
      </c>
      <c r="J535" s="84">
        <f>-2780-242</f>
        <v>-3022</v>
      </c>
      <c r="K535" s="84">
        <v>77.5</v>
      </c>
      <c r="L535" s="84">
        <f t="shared" si="190"/>
        <v>84</v>
      </c>
      <c r="M535" s="84"/>
      <c r="N535" s="84"/>
      <c r="O535" s="84">
        <f t="shared" si="191"/>
        <v>84</v>
      </c>
      <c r="P535" s="55"/>
      <c r="Q535" s="53">
        <f t="shared" si="183"/>
        <v>84</v>
      </c>
    </row>
    <row r="536" spans="1:17" ht="12.75">
      <c r="A536" s="11" t="s">
        <v>173</v>
      </c>
      <c r="B536" s="11"/>
      <c r="C536" s="84">
        <f aca="true" t="shared" si="192" ref="C536:O536">SUM(C537:C539)</f>
        <v>7740</v>
      </c>
      <c r="D536" s="84">
        <f t="shared" si="192"/>
        <v>-4000</v>
      </c>
      <c r="E536" s="84">
        <f t="shared" si="192"/>
        <v>0</v>
      </c>
      <c r="F536" s="84">
        <f t="shared" si="192"/>
        <v>3740</v>
      </c>
      <c r="G536" s="84">
        <f t="shared" si="192"/>
        <v>0</v>
      </c>
      <c r="H536" s="84">
        <f t="shared" si="192"/>
        <v>0</v>
      </c>
      <c r="I536" s="84">
        <f t="shared" si="192"/>
        <v>3740</v>
      </c>
      <c r="J536" s="84">
        <f t="shared" si="192"/>
        <v>2000</v>
      </c>
      <c r="K536" s="84">
        <f t="shared" si="192"/>
        <v>2499.6</v>
      </c>
      <c r="L536" s="84">
        <f t="shared" si="192"/>
        <v>8239.6</v>
      </c>
      <c r="M536" s="84">
        <f t="shared" si="192"/>
        <v>0</v>
      </c>
      <c r="N536" s="84">
        <f t="shared" si="192"/>
        <v>0</v>
      </c>
      <c r="O536" s="84">
        <f t="shared" si="192"/>
        <v>8239.6</v>
      </c>
      <c r="P536" s="55"/>
      <c r="Q536" s="53"/>
    </row>
    <row r="537" spans="1:17" ht="12.75">
      <c r="A537" s="11" t="s">
        <v>276</v>
      </c>
      <c r="B537" s="11"/>
      <c r="C537" s="84">
        <v>2000</v>
      </c>
      <c r="D537" s="91">
        <v>-2000</v>
      </c>
      <c r="E537" s="84"/>
      <c r="F537" s="84">
        <f t="shared" si="177"/>
        <v>0</v>
      </c>
      <c r="G537" s="84"/>
      <c r="H537" s="84"/>
      <c r="I537" s="84">
        <f>F537+G537+H537</f>
        <v>0</v>
      </c>
      <c r="J537" s="84"/>
      <c r="K537" s="84"/>
      <c r="L537" s="84">
        <f t="shared" si="190"/>
        <v>0</v>
      </c>
      <c r="M537" s="84"/>
      <c r="N537" s="84"/>
      <c r="O537" s="84">
        <f t="shared" si="191"/>
        <v>0</v>
      </c>
      <c r="P537" s="55"/>
      <c r="Q537" s="53"/>
    </row>
    <row r="538" spans="1:17" ht="12.75">
      <c r="A538" s="11" t="s">
        <v>277</v>
      </c>
      <c r="B538" s="11"/>
      <c r="C538" s="84">
        <v>2000</v>
      </c>
      <c r="D538" s="91">
        <v>-2000</v>
      </c>
      <c r="E538" s="84"/>
      <c r="F538" s="84">
        <f t="shared" si="177"/>
        <v>0</v>
      </c>
      <c r="G538" s="84"/>
      <c r="H538" s="84"/>
      <c r="I538" s="84">
        <f>F538+G538+H538</f>
        <v>0</v>
      </c>
      <c r="J538" s="84"/>
      <c r="K538" s="84"/>
      <c r="L538" s="84">
        <f t="shared" si="190"/>
        <v>0</v>
      </c>
      <c r="M538" s="84"/>
      <c r="N538" s="84"/>
      <c r="O538" s="84">
        <f t="shared" si="191"/>
        <v>0</v>
      </c>
      <c r="P538" s="55"/>
      <c r="Q538" s="53"/>
    </row>
    <row r="539" spans="1:17" ht="12.75">
      <c r="A539" s="14" t="s">
        <v>278</v>
      </c>
      <c r="B539" s="14"/>
      <c r="C539" s="88">
        <v>3740</v>
      </c>
      <c r="D539" s="88"/>
      <c r="E539" s="88"/>
      <c r="F539" s="88">
        <f t="shared" si="177"/>
        <v>3740</v>
      </c>
      <c r="G539" s="88"/>
      <c r="H539" s="88"/>
      <c r="I539" s="88">
        <f>F539+G539+H539</f>
        <v>3740</v>
      </c>
      <c r="J539" s="88">
        <v>2000</v>
      </c>
      <c r="K539" s="88">
        <v>2499.6</v>
      </c>
      <c r="L539" s="88">
        <f t="shared" si="190"/>
        <v>8239.6</v>
      </c>
      <c r="M539" s="88"/>
      <c r="N539" s="88"/>
      <c r="O539" s="88">
        <f t="shared" si="191"/>
        <v>8239.6</v>
      </c>
      <c r="P539" s="68"/>
      <c r="Q539" s="69">
        <f t="shared" si="183"/>
        <v>8239.6</v>
      </c>
    </row>
    <row r="540" spans="1:17" ht="13.5" thickBot="1">
      <c r="A540" s="25" t="s">
        <v>174</v>
      </c>
      <c r="B540" s="12"/>
      <c r="C540" s="85">
        <v>4798</v>
      </c>
      <c r="D540" s="85"/>
      <c r="E540" s="85"/>
      <c r="F540" s="85">
        <f>SUM(C540:E540)</f>
        <v>4798</v>
      </c>
      <c r="G540" s="85">
        <v>88</v>
      </c>
      <c r="H540" s="85"/>
      <c r="I540" s="85">
        <f>SUM(F540:H540)</f>
        <v>4886</v>
      </c>
      <c r="J540" s="85"/>
      <c r="K540" s="85">
        <f>755.3-23.3</f>
        <v>732</v>
      </c>
      <c r="L540" s="119">
        <f>SUM(I540:K540)</f>
        <v>5618</v>
      </c>
      <c r="M540" s="85"/>
      <c r="N540" s="85"/>
      <c r="O540" s="85">
        <f>SUM(L540:N540)</f>
        <v>5618</v>
      </c>
      <c r="P540" s="58"/>
      <c r="Q540" s="7">
        <f>O540+P540</f>
        <v>5618</v>
      </c>
    </row>
    <row r="541" spans="1:17" ht="14.25" thickBot="1">
      <c r="A541" s="26" t="s">
        <v>175</v>
      </c>
      <c r="B541" s="26"/>
      <c r="C541" s="73">
        <f aca="true" t="shared" si="193" ref="C541:O541">C100+C120+C146+C163+C173+C194+C204+C216+C270+C321+C337+C402+C435+C457+C464+C485+C489+C540+C471+C356</f>
        <v>3476692.5</v>
      </c>
      <c r="D541" s="73">
        <f t="shared" si="193"/>
        <v>0</v>
      </c>
      <c r="E541" s="73">
        <f t="shared" si="193"/>
        <v>552533.4</v>
      </c>
      <c r="F541" s="73">
        <f t="shared" si="193"/>
        <v>4029225.9000000004</v>
      </c>
      <c r="G541" s="73">
        <f t="shared" si="193"/>
        <v>4675059.7</v>
      </c>
      <c r="H541" s="73">
        <f t="shared" si="193"/>
        <v>10046.2</v>
      </c>
      <c r="I541" s="73">
        <f t="shared" si="193"/>
        <v>8714331.8</v>
      </c>
      <c r="J541" s="73">
        <f t="shared" si="193"/>
        <v>562400.6</v>
      </c>
      <c r="K541" s="73">
        <f t="shared" si="193"/>
        <v>34267.1</v>
      </c>
      <c r="L541" s="73">
        <f t="shared" si="193"/>
        <v>9310999.5</v>
      </c>
      <c r="M541" s="73">
        <f t="shared" si="193"/>
        <v>310866.20000000007</v>
      </c>
      <c r="N541" s="73">
        <f t="shared" si="193"/>
        <v>0</v>
      </c>
      <c r="O541" s="73">
        <f t="shared" si="193"/>
        <v>9621865.7</v>
      </c>
      <c r="P541" s="62">
        <f>P100+P120+P146+P163+P173+P194+P204+P216+P270+P321+P337+P402+P435+P457+P464+P485+P489+P540</f>
        <v>0</v>
      </c>
      <c r="Q541" s="40" t="e">
        <f>Q100+Q120+Q146+Q163+Q173+Q194+Q204+Q216+Q270+Q321+Q337+Q402+Q435+Q457+Q464+Q485+Q489+Q540</f>
        <v>#REF!</v>
      </c>
    </row>
    <row r="542" spans="1:17" ht="13.5" thickBot="1">
      <c r="A542" s="27" t="s">
        <v>176</v>
      </c>
      <c r="B542" s="27"/>
      <c r="C542" s="74">
        <v>-4798</v>
      </c>
      <c r="D542" s="74"/>
      <c r="E542" s="74"/>
      <c r="F542" s="74">
        <f>SUM(C542:E542)</f>
        <v>-4798</v>
      </c>
      <c r="G542" s="74">
        <v>-88</v>
      </c>
      <c r="H542" s="74"/>
      <c r="I542" s="74">
        <f>SUM(F542:H542)</f>
        <v>-4886</v>
      </c>
      <c r="J542" s="74"/>
      <c r="K542" s="74"/>
      <c r="L542" s="74">
        <f>SUM(I542:K542)</f>
        <v>-4886</v>
      </c>
      <c r="M542" s="74"/>
      <c r="N542" s="74"/>
      <c r="O542" s="74">
        <f>SUM(L542:N542)</f>
        <v>-4886</v>
      </c>
      <c r="P542" s="55"/>
      <c r="Q542" s="52">
        <f t="shared" si="183"/>
        <v>-4886</v>
      </c>
    </row>
    <row r="543" spans="1:17" ht="15.75" thickBot="1">
      <c r="A543" s="28" t="s">
        <v>177</v>
      </c>
      <c r="B543" s="28"/>
      <c r="C543" s="75">
        <f>C541+C542</f>
        <v>3471894.5</v>
      </c>
      <c r="D543" s="75">
        <f>D541+D542</f>
        <v>0</v>
      </c>
      <c r="E543" s="75">
        <f>E541+E542</f>
        <v>552533.4</v>
      </c>
      <c r="F543" s="75">
        <f>F541+F542</f>
        <v>4024427.9000000004</v>
      </c>
      <c r="G543" s="75">
        <f aca="true" t="shared" si="194" ref="G543:Q543">G541+G542</f>
        <v>4674971.7</v>
      </c>
      <c r="H543" s="75">
        <f t="shared" si="194"/>
        <v>10046.2</v>
      </c>
      <c r="I543" s="75">
        <f t="shared" si="194"/>
        <v>8709445.8</v>
      </c>
      <c r="J543" s="75">
        <f t="shared" si="194"/>
        <v>562400.6</v>
      </c>
      <c r="K543" s="75">
        <f t="shared" si="194"/>
        <v>34267.1</v>
      </c>
      <c r="L543" s="75">
        <f t="shared" si="194"/>
        <v>9306113.5</v>
      </c>
      <c r="M543" s="75">
        <f t="shared" si="194"/>
        <v>310866.20000000007</v>
      </c>
      <c r="N543" s="75">
        <f t="shared" si="194"/>
        <v>0</v>
      </c>
      <c r="O543" s="75">
        <f t="shared" si="194"/>
        <v>9616979.7</v>
      </c>
      <c r="P543" s="63">
        <f t="shared" si="194"/>
        <v>0</v>
      </c>
      <c r="Q543" s="41" t="e">
        <f t="shared" si="194"/>
        <v>#REF!</v>
      </c>
    </row>
    <row r="544" spans="1:17" ht="15">
      <c r="A544" s="29" t="s">
        <v>38</v>
      </c>
      <c r="B544" s="29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55"/>
      <c r="Q544" s="53"/>
    </row>
    <row r="545" spans="1:17" ht="15">
      <c r="A545" s="30" t="s">
        <v>69</v>
      </c>
      <c r="B545" s="30"/>
      <c r="C545" s="71">
        <f aca="true" t="shared" si="195" ref="C545:O545">C101+C121+C147+C164+C174+C195+C205+C217+C271+C322+C338+C403+C436+C458+C465+C486+C491+C540+C542+C472+C357</f>
        <v>2841293.8000000003</v>
      </c>
      <c r="D545" s="71">
        <f t="shared" si="195"/>
        <v>-29000</v>
      </c>
      <c r="E545" s="71">
        <f t="shared" si="195"/>
        <v>126119.79999999999</v>
      </c>
      <c r="F545" s="71">
        <f t="shared" si="195"/>
        <v>2938413.6000000006</v>
      </c>
      <c r="G545" s="71">
        <f t="shared" si="195"/>
        <v>4497400.5</v>
      </c>
      <c r="H545" s="71">
        <f t="shared" si="195"/>
        <v>-1674.2999999999993</v>
      </c>
      <c r="I545" s="71">
        <f t="shared" si="195"/>
        <v>7434139.800000001</v>
      </c>
      <c r="J545" s="71">
        <f t="shared" si="195"/>
        <v>503301.30000000016</v>
      </c>
      <c r="K545" s="71">
        <f t="shared" si="195"/>
        <v>10176.199999999999</v>
      </c>
      <c r="L545" s="71">
        <f t="shared" si="195"/>
        <v>7947617.299999999</v>
      </c>
      <c r="M545" s="71">
        <f t="shared" si="195"/>
        <v>202034.30000000005</v>
      </c>
      <c r="N545" s="71">
        <f t="shared" si="195"/>
        <v>0</v>
      </c>
      <c r="O545" s="71">
        <f t="shared" si="195"/>
        <v>8149651.6</v>
      </c>
      <c r="P545" s="64">
        <f>P101+P121+P147+P164+P174+P195+P205+P217+P271+P322+P338+P403+P436+P458+P465+P486+P491+P540+P542</f>
        <v>0</v>
      </c>
      <c r="Q545" s="42" t="e">
        <f>Q101+Q121+Q147+Q164+Q174+Q195+Q205+Q217+Q271+Q322+Q338+Q403+Q436+Q458+Q465+Q486+Q491+Q540+Q542</f>
        <v>#REF!</v>
      </c>
    </row>
    <row r="546" spans="1:17" ht="15.75" thickBot="1">
      <c r="A546" s="16" t="s">
        <v>75</v>
      </c>
      <c r="B546" s="16"/>
      <c r="C546" s="72">
        <f aca="true" t="shared" si="196" ref="C546:O546">C114+C140+C156+C169+C186+C200+C211+C253+C314+C333+C349+C429+C449+C461+C492+C481+C380</f>
        <v>630600.7000000001</v>
      </c>
      <c r="D546" s="72">
        <f t="shared" si="196"/>
        <v>29000</v>
      </c>
      <c r="E546" s="72">
        <f t="shared" si="196"/>
        <v>426413.6</v>
      </c>
      <c r="F546" s="72">
        <f t="shared" si="196"/>
        <v>1086014.2999999998</v>
      </c>
      <c r="G546" s="72">
        <f t="shared" si="196"/>
        <v>177571.19999999998</v>
      </c>
      <c r="H546" s="72">
        <f t="shared" si="196"/>
        <v>11720.5</v>
      </c>
      <c r="I546" s="72">
        <f t="shared" si="196"/>
        <v>1275306</v>
      </c>
      <c r="J546" s="72">
        <f t="shared" si="196"/>
        <v>59099.299999999996</v>
      </c>
      <c r="K546" s="72">
        <f t="shared" si="196"/>
        <v>24090.899999999998</v>
      </c>
      <c r="L546" s="72">
        <f t="shared" si="196"/>
        <v>1358496.2</v>
      </c>
      <c r="M546" s="72">
        <f t="shared" si="196"/>
        <v>108831.9</v>
      </c>
      <c r="N546" s="72">
        <f t="shared" si="196"/>
        <v>0</v>
      </c>
      <c r="O546" s="72">
        <f t="shared" si="196"/>
        <v>1467328.0999999999</v>
      </c>
      <c r="P546" s="65">
        <f>P114+P140+P156+P169+P186+P200+P211+P253+P314+P333+P349+P429+P449+P461+P492</f>
        <v>0</v>
      </c>
      <c r="Q546" s="43">
        <f>Q114+Q140+Q156+Q169+Q186+Q200+Q211+Q253+Q314+Q333+Q349+Q429+Q449+Q461+Q492</f>
        <v>424660.2</v>
      </c>
    </row>
    <row r="547" spans="1:17" ht="15">
      <c r="A547" s="29" t="s">
        <v>178</v>
      </c>
      <c r="B547" s="29"/>
      <c r="C547" s="77">
        <f>SUM(C549:C552)</f>
        <v>137500</v>
      </c>
      <c r="D547" s="77">
        <f>SUM(D549:D552)</f>
        <v>0</v>
      </c>
      <c r="E547" s="77">
        <f>SUM(E549:E552)</f>
        <v>552533.4</v>
      </c>
      <c r="F547" s="77">
        <f>SUM(F549:F552)</f>
        <v>690033.4</v>
      </c>
      <c r="G547" s="77">
        <f aca="true" t="shared" si="197" ref="G547:Q547">SUM(G549:G552)</f>
        <v>213894.2</v>
      </c>
      <c r="H547" s="77">
        <f t="shared" si="197"/>
        <v>12536.3</v>
      </c>
      <c r="I547" s="77">
        <f t="shared" si="197"/>
        <v>916463.9000000001</v>
      </c>
      <c r="J547" s="77">
        <f t="shared" si="197"/>
        <v>55622.200000000004</v>
      </c>
      <c r="K547" s="77">
        <f t="shared" si="197"/>
        <v>21639.9</v>
      </c>
      <c r="L547" s="77">
        <f t="shared" si="197"/>
        <v>993726.0000000001</v>
      </c>
      <c r="M547" s="77">
        <f t="shared" si="197"/>
        <v>0</v>
      </c>
      <c r="N547" s="77">
        <f t="shared" si="197"/>
        <v>0</v>
      </c>
      <c r="O547" s="77">
        <f t="shared" si="197"/>
        <v>993726.0000000001</v>
      </c>
      <c r="P547" s="66">
        <f t="shared" si="197"/>
        <v>0</v>
      </c>
      <c r="Q547" s="5">
        <f t="shared" si="197"/>
        <v>993726.0000000001</v>
      </c>
    </row>
    <row r="548" spans="1:17" ht="12.75" customHeight="1">
      <c r="A548" s="31" t="s">
        <v>38</v>
      </c>
      <c r="B548" s="31"/>
      <c r="C548" s="78"/>
      <c r="D548" s="78"/>
      <c r="E548" s="78"/>
      <c r="F548" s="79"/>
      <c r="G548" s="78"/>
      <c r="H548" s="78"/>
      <c r="I548" s="79"/>
      <c r="J548" s="78"/>
      <c r="K548" s="78"/>
      <c r="L548" s="79"/>
      <c r="M548" s="78"/>
      <c r="N548" s="78"/>
      <c r="O548" s="79"/>
      <c r="P548" s="55"/>
      <c r="Q548" s="53"/>
    </row>
    <row r="549" spans="1:17" ht="13.5">
      <c r="A549" s="31" t="s">
        <v>179</v>
      </c>
      <c r="B549" s="31"/>
      <c r="C549" s="79">
        <v>300000</v>
      </c>
      <c r="D549" s="79"/>
      <c r="E549" s="79"/>
      <c r="F549" s="79">
        <f>SUM(C549:E549)</f>
        <v>300000</v>
      </c>
      <c r="G549" s="79"/>
      <c r="H549" s="79"/>
      <c r="I549" s="79">
        <f>SUM(F549:H549)</f>
        <v>300000</v>
      </c>
      <c r="J549" s="79"/>
      <c r="K549" s="79"/>
      <c r="L549" s="79">
        <f>SUM(I549:K549)</f>
        <v>300000</v>
      </c>
      <c r="M549" s="79"/>
      <c r="N549" s="79"/>
      <c r="O549" s="79">
        <f>SUM(L549:N549)</f>
        <v>300000</v>
      </c>
      <c r="P549" s="55"/>
      <c r="Q549" s="53">
        <f t="shared" si="183"/>
        <v>300000</v>
      </c>
    </row>
    <row r="550" spans="1:17" ht="13.5">
      <c r="A550" s="31" t="s">
        <v>188</v>
      </c>
      <c r="B550" s="31"/>
      <c r="C550" s="79">
        <v>-162500</v>
      </c>
      <c r="D550" s="79"/>
      <c r="E550" s="79"/>
      <c r="F550" s="79">
        <f>SUM(C550:E550)</f>
        <v>-162500</v>
      </c>
      <c r="G550" s="79"/>
      <c r="H550" s="79"/>
      <c r="I550" s="79">
        <f>SUM(F550:H550)</f>
        <v>-162500</v>
      </c>
      <c r="J550" s="79"/>
      <c r="K550" s="79"/>
      <c r="L550" s="79">
        <f>SUM(I550:K550)</f>
        <v>-162500</v>
      </c>
      <c r="M550" s="79"/>
      <c r="N550" s="79"/>
      <c r="O550" s="79">
        <f>SUM(L550:N550)</f>
        <v>-162500</v>
      </c>
      <c r="P550" s="55"/>
      <c r="Q550" s="53">
        <f t="shared" si="183"/>
        <v>-162500</v>
      </c>
    </row>
    <row r="551" spans="1:17" ht="13.5">
      <c r="A551" s="31" t="s">
        <v>180</v>
      </c>
      <c r="B551" s="31"/>
      <c r="C551" s="79"/>
      <c r="D551" s="79"/>
      <c r="E551" s="79">
        <f>552611.3-77.9</f>
        <v>552533.4</v>
      </c>
      <c r="F551" s="79">
        <f>SUM(C551:E551)</f>
        <v>552533.4</v>
      </c>
      <c r="G551" s="79">
        <f>1008+1158.1+1345.3+1720+10000+9394.8+252.7+170.2+40425.6+3130.4+4132.8+4618.4+1500+351+835.8+17191.9+100000+16648.7+4.1+0.4+0.2+5.8</f>
        <v>213894.2</v>
      </c>
      <c r="H551" s="79">
        <f>12303.4+232.9</f>
        <v>12536.3</v>
      </c>
      <c r="I551" s="79">
        <f>SUM(F551:H551)</f>
        <v>778963.9000000001</v>
      </c>
      <c r="J551" s="79">
        <f>1769.9+400+52970+356+126.3</f>
        <v>55622.200000000004</v>
      </c>
      <c r="K551" s="79">
        <f>21639.9-755.3+23.3</f>
        <v>20907.9</v>
      </c>
      <c r="L551" s="79">
        <f>SUM(I551:K551)</f>
        <v>855494.0000000001</v>
      </c>
      <c r="M551" s="79"/>
      <c r="N551" s="79"/>
      <c r="O551" s="79">
        <f>SUM(L551:N551)</f>
        <v>855494.0000000001</v>
      </c>
      <c r="P551" s="55"/>
      <c r="Q551" s="53">
        <f t="shared" si="183"/>
        <v>855494.0000000001</v>
      </c>
    </row>
    <row r="552" spans="1:17" ht="15.75" thickBot="1">
      <c r="A552" s="37" t="s">
        <v>230</v>
      </c>
      <c r="B552" s="37"/>
      <c r="C552" s="86"/>
      <c r="D552" s="80"/>
      <c r="E552" s="80"/>
      <c r="F552" s="80">
        <f>SUM(C552:E552)</f>
        <v>0</v>
      </c>
      <c r="G552" s="80"/>
      <c r="H552" s="80"/>
      <c r="I552" s="80">
        <f>SUM(F552:H552)</f>
        <v>0</v>
      </c>
      <c r="J552" s="80">
        <v>0</v>
      </c>
      <c r="K552" s="80">
        <f>755.3-23.3</f>
        <v>732</v>
      </c>
      <c r="L552" s="80">
        <f>SUM(I552:K552)</f>
        <v>732</v>
      </c>
      <c r="M552" s="80"/>
      <c r="N552" s="80"/>
      <c r="O552" s="80">
        <f>SUM(L552:N552)</f>
        <v>732</v>
      </c>
      <c r="P552" s="67"/>
      <c r="Q552" s="54">
        <f t="shared" si="183"/>
        <v>732</v>
      </c>
    </row>
    <row r="553" spans="3:17" ht="12.75">
      <c r="C553" s="36">
        <f aca="true" t="shared" si="198" ref="C553:Q553">C98+C547-C543</f>
        <v>0</v>
      </c>
      <c r="D553" s="36">
        <f t="shared" si="198"/>
        <v>0</v>
      </c>
      <c r="E553" s="36">
        <f t="shared" si="198"/>
        <v>0</v>
      </c>
      <c r="F553" s="36">
        <f t="shared" si="198"/>
        <v>0</v>
      </c>
      <c r="G553" s="36">
        <f t="shared" si="198"/>
        <v>0</v>
      </c>
      <c r="H553" s="36">
        <f t="shared" si="198"/>
        <v>0</v>
      </c>
      <c r="I553" s="36">
        <f t="shared" si="198"/>
        <v>0</v>
      </c>
      <c r="J553" s="36">
        <f t="shared" si="198"/>
        <v>0</v>
      </c>
      <c r="K553" s="36">
        <f t="shared" si="198"/>
        <v>0</v>
      </c>
      <c r="L553" s="36">
        <f t="shared" si="198"/>
        <v>0</v>
      </c>
      <c r="M553" s="36">
        <f t="shared" si="198"/>
        <v>0</v>
      </c>
      <c r="N553" s="36">
        <f t="shared" si="198"/>
        <v>0</v>
      </c>
      <c r="O553" s="36">
        <f t="shared" si="198"/>
        <v>0</v>
      </c>
      <c r="P553" s="36">
        <f t="shared" si="198"/>
        <v>0</v>
      </c>
      <c r="Q553" s="36" t="e">
        <f t="shared" si="198"/>
        <v>#REF!</v>
      </c>
    </row>
    <row r="554" ht="12.75">
      <c r="P554" s="36"/>
    </row>
    <row r="555" ht="12.75">
      <c r="P555" s="36"/>
    </row>
    <row r="556" ht="12.75">
      <c r="P556" s="36"/>
    </row>
    <row r="557" ht="12.75">
      <c r="P557" s="36"/>
    </row>
    <row r="558" ht="12.75">
      <c r="P558" s="36"/>
    </row>
    <row r="559" ht="12.75">
      <c r="P559" s="36"/>
    </row>
    <row r="560" ht="12.75">
      <c r="P560" s="36"/>
    </row>
    <row r="561" ht="12.75">
      <c r="P561" s="36"/>
    </row>
    <row r="562" ht="12.75">
      <c r="P562" s="36"/>
    </row>
    <row r="563" ht="12.75">
      <c r="P563" s="36"/>
    </row>
    <row r="564" ht="12.75">
      <c r="P564" s="36"/>
    </row>
    <row r="565" ht="12.75">
      <c r="P565" s="36"/>
    </row>
    <row r="566" ht="12.75">
      <c r="P566" s="36"/>
    </row>
    <row r="567" ht="12.75">
      <c r="P567" s="36"/>
    </row>
    <row r="568" ht="12.75">
      <c r="P568" s="36"/>
    </row>
    <row r="569" ht="12.75">
      <c r="P569" s="36"/>
    </row>
    <row r="570" ht="12.75">
      <c r="P570" s="36"/>
    </row>
    <row r="571" ht="12.75">
      <c r="P571" s="36"/>
    </row>
    <row r="572" ht="12.75">
      <c r="P572" s="36"/>
    </row>
    <row r="573" ht="12.75">
      <c r="P573" s="36"/>
    </row>
    <row r="574" ht="12.75">
      <c r="P574" s="36"/>
    </row>
    <row r="575" ht="12.75">
      <c r="P575" s="36"/>
    </row>
    <row r="576" ht="12.75">
      <c r="P576" s="36"/>
    </row>
    <row r="577" ht="12.75">
      <c r="P577" s="36"/>
    </row>
    <row r="578" ht="12.75">
      <c r="P578" s="36"/>
    </row>
    <row r="579" ht="12.75">
      <c r="P579" s="36"/>
    </row>
    <row r="580" ht="12.75">
      <c r="P580" s="36"/>
    </row>
    <row r="581" ht="12.75">
      <c r="P581" s="36"/>
    </row>
    <row r="582" ht="12.75">
      <c r="P582" s="36"/>
    </row>
    <row r="583" ht="12.75">
      <c r="P583" s="36"/>
    </row>
    <row r="584" ht="12.75">
      <c r="P584" s="36"/>
    </row>
    <row r="585" ht="12.75">
      <c r="P585" s="3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874015748031497" bottom="0.7874015748031497" header="0.5118110236220472" footer="0.31496062992125984"/>
  <pageSetup horizontalDpi="600" verticalDpi="600" orientation="portrait" paperSize="9" scale="85" r:id="rId1"/>
  <headerFooter alignWithMargins="0">
    <oddFooter>&amp;CStránka &amp;P</oddFooter>
  </headerFooter>
  <rowBreaks count="6" manualBreakCount="6">
    <brk id="90" max="255" man="1"/>
    <brk id="171" max="14" man="1"/>
    <brk id="252" max="14" man="1"/>
    <brk id="365" max="14" man="1"/>
    <brk id="448" max="14" man="1"/>
    <brk id="5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7"/>
  <sheetViews>
    <sheetView tabSelected="1" zoomScaleSheetLayoutView="69" zoomScalePageLayoutView="0" workbookViewId="0" topLeftCell="A1">
      <pane xSplit="1" ySplit="9" topLeftCell="C5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64" sqref="C564"/>
    </sheetView>
  </sheetViews>
  <sheetFormatPr defaultColWidth="9.00390625" defaultRowHeight="12.75"/>
  <cols>
    <col min="1" max="1" width="52.50390625" style="0" customWidth="1"/>
    <col min="2" max="2" width="9.00390625" style="0" hidden="1" customWidth="1"/>
    <col min="3" max="3" width="14.875" style="0" customWidth="1"/>
    <col min="4" max="4" width="15.375" style="0" hidden="1" customWidth="1"/>
    <col min="5" max="5" width="12.875" style="0" hidden="1" customWidth="1"/>
    <col min="6" max="6" width="14.50390625" style="0" hidden="1" customWidth="1"/>
    <col min="7" max="7" width="13.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2" width="14.125" style="0" customWidth="1"/>
    <col min="13" max="13" width="11.875" style="0" customWidth="1"/>
    <col min="14" max="14" width="12.125" style="0" customWidth="1"/>
    <col min="15" max="15" width="14.00390625" style="0" customWidth="1"/>
    <col min="16" max="16" width="13.37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/>
      <c r="L1" s="2"/>
      <c r="O1" s="2" t="s">
        <v>185</v>
      </c>
      <c r="Q1" s="2" t="s">
        <v>185</v>
      </c>
    </row>
    <row r="2" spans="3:6" ht="9.75" customHeight="1">
      <c r="C2" s="1"/>
      <c r="D2" s="1"/>
      <c r="E2" s="1"/>
      <c r="F2" s="2"/>
    </row>
    <row r="3" spans="1:17" ht="15">
      <c r="A3" s="122" t="s">
        <v>0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">
      <c r="A4" s="124" t="s">
        <v>260</v>
      </c>
      <c r="B4" s="12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3.5">
      <c r="A5" s="125" t="s">
        <v>1</v>
      </c>
      <c r="B5" s="125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2.75">
      <c r="A6" s="126" t="s">
        <v>2</v>
      </c>
      <c r="B6" s="126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3" ht="18" customHeight="1" thickBot="1">
      <c r="A7" s="3"/>
      <c r="B7" s="3"/>
      <c r="C7" s="4"/>
      <c r="D7" s="4"/>
      <c r="E7" s="4"/>
      <c r="F7" s="4"/>
      <c r="J7" s="44"/>
      <c r="M7" s="35"/>
    </row>
    <row r="8" spans="1:17" ht="12.75">
      <c r="A8" s="127" t="s">
        <v>3</v>
      </c>
      <c r="B8" s="93" t="s">
        <v>331</v>
      </c>
      <c r="C8" s="81" t="s">
        <v>4</v>
      </c>
      <c r="D8" s="81" t="s">
        <v>5</v>
      </c>
      <c r="E8" s="81" t="s">
        <v>6</v>
      </c>
      <c r="F8" s="81" t="s">
        <v>7</v>
      </c>
      <c r="G8" s="81" t="s">
        <v>8</v>
      </c>
      <c r="H8" s="81" t="s">
        <v>6</v>
      </c>
      <c r="I8" s="81" t="s">
        <v>7</v>
      </c>
      <c r="J8" s="81" t="s">
        <v>9</v>
      </c>
      <c r="K8" s="81" t="s">
        <v>6</v>
      </c>
      <c r="L8" s="81" t="s">
        <v>7</v>
      </c>
      <c r="M8" s="81" t="s">
        <v>10</v>
      </c>
      <c r="N8" s="120" t="s">
        <v>387</v>
      </c>
      <c r="O8" s="81" t="s">
        <v>7</v>
      </c>
      <c r="P8" s="6" t="s">
        <v>249</v>
      </c>
      <c r="Q8" s="46" t="s">
        <v>7</v>
      </c>
    </row>
    <row r="9" spans="1:17" ht="13.5" thickBot="1">
      <c r="A9" s="128"/>
      <c r="B9" s="94" t="s">
        <v>332</v>
      </c>
      <c r="C9" s="82" t="s">
        <v>11</v>
      </c>
      <c r="D9" s="82" t="s">
        <v>12</v>
      </c>
      <c r="E9" s="82" t="s">
        <v>13</v>
      </c>
      <c r="F9" s="82" t="s">
        <v>14</v>
      </c>
      <c r="G9" s="82" t="s">
        <v>12</v>
      </c>
      <c r="H9" s="82" t="s">
        <v>13</v>
      </c>
      <c r="I9" s="82" t="s">
        <v>15</v>
      </c>
      <c r="J9" s="82" t="s">
        <v>12</v>
      </c>
      <c r="K9" s="82" t="s">
        <v>13</v>
      </c>
      <c r="L9" s="82" t="s">
        <v>16</v>
      </c>
      <c r="M9" s="82" t="s">
        <v>12</v>
      </c>
      <c r="N9" s="121" t="s">
        <v>388</v>
      </c>
      <c r="O9" s="82" t="s">
        <v>17</v>
      </c>
      <c r="P9" s="34" t="s">
        <v>12</v>
      </c>
      <c r="Q9" s="47" t="s">
        <v>250</v>
      </c>
    </row>
    <row r="10" spans="1:17" ht="15.75" customHeight="1">
      <c r="A10" s="33" t="s">
        <v>18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95"/>
      <c r="N10" s="95"/>
      <c r="O10" s="95"/>
      <c r="P10" s="50"/>
      <c r="Q10" s="51"/>
    </row>
    <row r="11" spans="1:17" ht="12.75">
      <c r="A11" s="8" t="s">
        <v>19</v>
      </c>
      <c r="B11" s="8"/>
      <c r="C11" s="83">
        <v>2990000</v>
      </c>
      <c r="D11" s="83"/>
      <c r="E11" s="83"/>
      <c r="F11" s="83">
        <f>C11+D11+E11</f>
        <v>2990000</v>
      </c>
      <c r="G11" s="83">
        <v>21481.1</v>
      </c>
      <c r="H11" s="83"/>
      <c r="I11" s="83">
        <f>F11+G11+H11</f>
        <v>3011481.1</v>
      </c>
      <c r="J11" s="83"/>
      <c r="K11" s="83"/>
      <c r="L11" s="83">
        <f>I11+J11+K11</f>
        <v>3011481.1</v>
      </c>
      <c r="M11" s="83"/>
      <c r="N11" s="83">
        <v>2250</v>
      </c>
      <c r="O11" s="83">
        <f>L11+M11+N11</f>
        <v>3013731.1</v>
      </c>
      <c r="P11" s="55"/>
      <c r="Q11" s="52">
        <f>O11+P11</f>
        <v>3013731.1</v>
      </c>
    </row>
    <row r="12" spans="1:17" ht="12.75">
      <c r="A12" s="9" t="s">
        <v>20</v>
      </c>
      <c r="B12" s="9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55"/>
      <c r="Q12" s="53"/>
    </row>
    <row r="13" spans="1:17" ht="12.75">
      <c r="A13" s="10" t="s">
        <v>21</v>
      </c>
      <c r="B13" s="10"/>
      <c r="C13" s="83"/>
      <c r="D13" s="84"/>
      <c r="E13" s="84"/>
      <c r="F13" s="84">
        <f>C13+D13+E13</f>
        <v>0</v>
      </c>
      <c r="G13" s="84">
        <v>21481.1</v>
      </c>
      <c r="H13" s="83"/>
      <c r="I13" s="84">
        <f>F13+G13+H13</f>
        <v>21481.1</v>
      </c>
      <c r="J13" s="84"/>
      <c r="K13" s="83"/>
      <c r="L13" s="84">
        <f>I13+J13+K13</f>
        <v>21481.1</v>
      </c>
      <c r="M13" s="84"/>
      <c r="N13" s="83"/>
      <c r="O13" s="84">
        <f>L13+M13+N13</f>
        <v>21481.1</v>
      </c>
      <c r="P13" s="55"/>
      <c r="Q13" s="53">
        <f aca="true" t="shared" si="0" ref="Q13:Q81">O13+P13</f>
        <v>21481.1</v>
      </c>
    </row>
    <row r="14" spans="1:17" ht="12.75">
      <c r="A14" s="8" t="s">
        <v>22</v>
      </c>
      <c r="B14" s="8"/>
      <c r="C14" s="83">
        <f>SUM(C16:C35)</f>
        <v>253134.9</v>
      </c>
      <c r="D14" s="83">
        <f aca="true" t="shared" si="1" ref="D14:Q14">SUM(D16:D35)</f>
        <v>0</v>
      </c>
      <c r="E14" s="83">
        <f t="shared" si="1"/>
        <v>0</v>
      </c>
      <c r="F14" s="83">
        <f t="shared" si="1"/>
        <v>253134.9</v>
      </c>
      <c r="G14" s="83">
        <f t="shared" si="1"/>
        <v>448.3</v>
      </c>
      <c r="H14" s="83">
        <f t="shared" si="1"/>
        <v>-2490.1</v>
      </c>
      <c r="I14" s="83">
        <f t="shared" si="1"/>
        <v>251093.1</v>
      </c>
      <c r="J14" s="83">
        <f t="shared" si="1"/>
        <v>3800.199999999999</v>
      </c>
      <c r="K14" s="83">
        <f t="shared" si="1"/>
        <v>6291.5</v>
      </c>
      <c r="L14" s="83">
        <f t="shared" si="1"/>
        <v>261184.8</v>
      </c>
      <c r="M14" s="83">
        <f t="shared" si="1"/>
        <v>20794.899999999998</v>
      </c>
      <c r="N14" s="83">
        <f t="shared" si="1"/>
        <v>0</v>
      </c>
      <c r="O14" s="83">
        <f t="shared" si="1"/>
        <v>281979.69999999995</v>
      </c>
      <c r="P14" s="56">
        <f t="shared" si="1"/>
        <v>0</v>
      </c>
      <c r="Q14" s="38">
        <f t="shared" si="1"/>
        <v>275874.6</v>
      </c>
    </row>
    <row r="15" spans="1:17" ht="10.5" customHeight="1">
      <c r="A15" s="9" t="s">
        <v>23</v>
      </c>
      <c r="B15" s="9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5"/>
      <c r="Q15" s="53"/>
    </row>
    <row r="16" spans="1:17" ht="12.75">
      <c r="A16" s="10" t="s">
        <v>24</v>
      </c>
      <c r="B16" s="10"/>
      <c r="C16" s="84">
        <v>4000</v>
      </c>
      <c r="D16" s="84"/>
      <c r="E16" s="84"/>
      <c r="F16" s="84">
        <f>C16+D16+E16</f>
        <v>4000</v>
      </c>
      <c r="G16" s="84"/>
      <c r="H16" s="84"/>
      <c r="I16" s="84">
        <f>F16+G16+H16</f>
        <v>4000</v>
      </c>
      <c r="J16" s="84"/>
      <c r="K16" s="84"/>
      <c r="L16" s="84">
        <f>I16+J16+K16</f>
        <v>4000</v>
      </c>
      <c r="M16" s="84"/>
      <c r="N16" s="84"/>
      <c r="O16" s="84">
        <f>L16+M16+N16</f>
        <v>4000</v>
      </c>
      <c r="P16" s="55"/>
      <c r="Q16" s="53">
        <f t="shared" si="0"/>
        <v>4000</v>
      </c>
    </row>
    <row r="17" spans="1:17" ht="12.75">
      <c r="A17" s="10" t="s">
        <v>25</v>
      </c>
      <c r="B17" s="10"/>
      <c r="C17" s="84"/>
      <c r="D17" s="84"/>
      <c r="E17" s="84"/>
      <c r="F17" s="84">
        <f aca="true" t="shared" si="2" ref="F17:F34">C17+D17+E17</f>
        <v>0</v>
      </c>
      <c r="G17" s="84"/>
      <c r="H17" s="84"/>
      <c r="I17" s="84">
        <f aca="true" t="shared" si="3" ref="I17:I34">F17+G17+H17</f>
        <v>0</v>
      </c>
      <c r="J17" s="84">
        <v>2000</v>
      </c>
      <c r="K17" s="84"/>
      <c r="L17" s="84">
        <f aca="true" t="shared" si="4" ref="L17:L34">I17+J17+K17</f>
        <v>2000</v>
      </c>
      <c r="M17" s="84">
        <v>13000</v>
      </c>
      <c r="N17" s="84"/>
      <c r="O17" s="84">
        <f aca="true" t="shared" si="5" ref="O17:O34">L17+M17+N17</f>
        <v>15000</v>
      </c>
      <c r="P17" s="55"/>
      <c r="Q17" s="53">
        <f t="shared" si="0"/>
        <v>15000</v>
      </c>
    </row>
    <row r="18" spans="1:17" ht="12.75" hidden="1">
      <c r="A18" s="10" t="s">
        <v>26</v>
      </c>
      <c r="B18" s="10"/>
      <c r="C18" s="84"/>
      <c r="D18" s="84"/>
      <c r="E18" s="84"/>
      <c r="F18" s="84">
        <f t="shared" si="2"/>
        <v>0</v>
      </c>
      <c r="G18" s="84"/>
      <c r="H18" s="84"/>
      <c r="I18" s="84">
        <f t="shared" si="3"/>
        <v>0</v>
      </c>
      <c r="J18" s="84"/>
      <c r="K18" s="84"/>
      <c r="L18" s="84">
        <f t="shared" si="4"/>
        <v>0</v>
      </c>
      <c r="M18" s="84"/>
      <c r="N18" s="84"/>
      <c r="O18" s="84">
        <f t="shared" si="5"/>
        <v>0</v>
      </c>
      <c r="P18" s="55"/>
      <c r="Q18" s="53">
        <f t="shared" si="0"/>
        <v>0</v>
      </c>
    </row>
    <row r="19" spans="1:17" ht="12.75" hidden="1">
      <c r="A19" s="10" t="s">
        <v>27</v>
      </c>
      <c r="B19" s="10"/>
      <c r="C19" s="84"/>
      <c r="D19" s="84"/>
      <c r="E19" s="84"/>
      <c r="F19" s="84">
        <f t="shared" si="2"/>
        <v>0</v>
      </c>
      <c r="G19" s="84"/>
      <c r="H19" s="84"/>
      <c r="I19" s="84">
        <f t="shared" si="3"/>
        <v>0</v>
      </c>
      <c r="J19" s="84"/>
      <c r="K19" s="84"/>
      <c r="L19" s="84">
        <f t="shared" si="4"/>
        <v>0</v>
      </c>
      <c r="M19" s="84"/>
      <c r="N19" s="84"/>
      <c r="O19" s="84">
        <f t="shared" si="5"/>
        <v>0</v>
      </c>
      <c r="P19" s="55"/>
      <c r="Q19" s="53">
        <f t="shared" si="0"/>
        <v>0</v>
      </c>
    </row>
    <row r="20" spans="1:17" ht="12.75">
      <c r="A20" s="10" t="s">
        <v>28</v>
      </c>
      <c r="B20" s="10"/>
      <c r="C20" s="84">
        <v>45000</v>
      </c>
      <c r="D20" s="84"/>
      <c r="E20" s="84"/>
      <c r="F20" s="84">
        <f t="shared" si="2"/>
        <v>45000</v>
      </c>
      <c r="G20" s="84"/>
      <c r="H20" s="84"/>
      <c r="I20" s="84">
        <f t="shared" si="3"/>
        <v>45000</v>
      </c>
      <c r="J20" s="84"/>
      <c r="K20" s="84"/>
      <c r="L20" s="84">
        <f t="shared" si="4"/>
        <v>45000</v>
      </c>
      <c r="M20" s="84"/>
      <c r="N20" s="84"/>
      <c r="O20" s="84">
        <f t="shared" si="5"/>
        <v>45000</v>
      </c>
      <c r="P20" s="55"/>
      <c r="Q20" s="53">
        <f t="shared" si="0"/>
        <v>45000</v>
      </c>
    </row>
    <row r="21" spans="1:17" ht="12.75" hidden="1">
      <c r="A21" s="10" t="s">
        <v>29</v>
      </c>
      <c r="B21" s="10"/>
      <c r="C21" s="84"/>
      <c r="D21" s="84"/>
      <c r="E21" s="84"/>
      <c r="F21" s="84">
        <f t="shared" si="2"/>
        <v>0</v>
      </c>
      <c r="G21" s="84"/>
      <c r="H21" s="84"/>
      <c r="I21" s="84">
        <f t="shared" si="3"/>
        <v>0</v>
      </c>
      <c r="J21" s="84"/>
      <c r="K21" s="84"/>
      <c r="L21" s="84">
        <f t="shared" si="4"/>
        <v>0</v>
      </c>
      <c r="M21" s="84"/>
      <c r="N21" s="84"/>
      <c r="O21" s="84">
        <f t="shared" si="5"/>
        <v>0</v>
      </c>
      <c r="P21" s="55"/>
      <c r="Q21" s="53">
        <f t="shared" si="0"/>
        <v>0</v>
      </c>
    </row>
    <row r="22" spans="1:17" ht="12.75">
      <c r="A22" s="10" t="s">
        <v>30</v>
      </c>
      <c r="B22" s="10"/>
      <c r="C22" s="84"/>
      <c r="D22" s="84"/>
      <c r="E22" s="84"/>
      <c r="F22" s="84">
        <f t="shared" si="2"/>
        <v>0</v>
      </c>
      <c r="G22" s="84">
        <f>64.2+367</f>
        <v>431.2</v>
      </c>
      <c r="H22" s="84"/>
      <c r="I22" s="84">
        <f t="shared" si="3"/>
        <v>431.2</v>
      </c>
      <c r="J22" s="84">
        <f>1306.1+3.5</f>
        <v>1309.6</v>
      </c>
      <c r="K22" s="84"/>
      <c r="L22" s="84">
        <f t="shared" si="4"/>
        <v>1740.8</v>
      </c>
      <c r="M22" s="84">
        <f>10+3.2+130.6+17.9+135.7</f>
        <v>297.4</v>
      </c>
      <c r="N22" s="84"/>
      <c r="O22" s="84">
        <f t="shared" si="5"/>
        <v>2038.1999999999998</v>
      </c>
      <c r="P22" s="55"/>
      <c r="Q22" s="53">
        <f t="shared" si="0"/>
        <v>2038.1999999999998</v>
      </c>
    </row>
    <row r="23" spans="1:17" ht="12.75">
      <c r="A23" s="11" t="s">
        <v>197</v>
      </c>
      <c r="B23" s="11"/>
      <c r="C23" s="84">
        <v>21557.4</v>
      </c>
      <c r="D23" s="84"/>
      <c r="E23" s="84"/>
      <c r="F23" s="84">
        <f t="shared" si="2"/>
        <v>21557.4</v>
      </c>
      <c r="G23" s="84"/>
      <c r="H23" s="84"/>
      <c r="I23" s="84">
        <f t="shared" si="3"/>
        <v>21557.4</v>
      </c>
      <c r="J23" s="84"/>
      <c r="K23" s="84"/>
      <c r="L23" s="84">
        <f t="shared" si="4"/>
        <v>21557.4</v>
      </c>
      <c r="M23" s="84"/>
      <c r="N23" s="84"/>
      <c r="O23" s="84">
        <f t="shared" si="5"/>
        <v>21557.4</v>
      </c>
      <c r="P23" s="55"/>
      <c r="Q23" s="53">
        <f t="shared" si="0"/>
        <v>21557.4</v>
      </c>
    </row>
    <row r="24" spans="1:17" ht="12.75">
      <c r="A24" s="11" t="s">
        <v>217</v>
      </c>
      <c r="B24" s="11"/>
      <c r="C24" s="84">
        <v>57526</v>
      </c>
      <c r="D24" s="84"/>
      <c r="E24" s="84"/>
      <c r="F24" s="84">
        <f t="shared" si="2"/>
        <v>57526</v>
      </c>
      <c r="G24" s="84"/>
      <c r="H24" s="84"/>
      <c r="I24" s="84">
        <f t="shared" si="3"/>
        <v>57526</v>
      </c>
      <c r="J24" s="84">
        <v>583.4</v>
      </c>
      <c r="K24" s="84"/>
      <c r="L24" s="84">
        <f t="shared" si="4"/>
        <v>58109.4</v>
      </c>
      <c r="M24" s="84">
        <v>7198.6</v>
      </c>
      <c r="N24" s="84"/>
      <c r="O24" s="84">
        <f t="shared" si="5"/>
        <v>65308</v>
      </c>
      <c r="P24" s="55"/>
      <c r="Q24" s="53">
        <f t="shared" si="0"/>
        <v>65308</v>
      </c>
    </row>
    <row r="25" spans="1:17" ht="12.75" hidden="1">
      <c r="A25" s="11" t="s">
        <v>243</v>
      </c>
      <c r="B25" s="11"/>
      <c r="C25" s="84"/>
      <c r="D25" s="84"/>
      <c r="E25" s="84"/>
      <c r="F25" s="84">
        <f t="shared" si="2"/>
        <v>0</v>
      </c>
      <c r="G25" s="84"/>
      <c r="H25" s="84"/>
      <c r="I25" s="84">
        <f t="shared" si="3"/>
        <v>0</v>
      </c>
      <c r="J25" s="84"/>
      <c r="K25" s="84"/>
      <c r="L25" s="84">
        <f t="shared" si="4"/>
        <v>0</v>
      </c>
      <c r="M25" s="84"/>
      <c r="N25" s="84"/>
      <c r="O25" s="84">
        <f t="shared" si="5"/>
        <v>0</v>
      </c>
      <c r="P25" s="55"/>
      <c r="Q25" s="53">
        <f t="shared" si="0"/>
        <v>0</v>
      </c>
    </row>
    <row r="26" spans="1:17" ht="12.75" hidden="1">
      <c r="A26" s="11" t="s">
        <v>218</v>
      </c>
      <c r="B26" s="11"/>
      <c r="C26" s="84"/>
      <c r="D26" s="84"/>
      <c r="E26" s="84"/>
      <c r="F26" s="84">
        <f t="shared" si="2"/>
        <v>0</v>
      </c>
      <c r="G26" s="84"/>
      <c r="H26" s="84"/>
      <c r="I26" s="84">
        <f t="shared" si="3"/>
        <v>0</v>
      </c>
      <c r="J26" s="84"/>
      <c r="K26" s="84"/>
      <c r="L26" s="84">
        <f t="shared" si="4"/>
        <v>0</v>
      </c>
      <c r="M26" s="84"/>
      <c r="N26" s="84"/>
      <c r="O26" s="84">
        <f t="shared" si="5"/>
        <v>0</v>
      </c>
      <c r="P26" s="55"/>
      <c r="Q26" s="53">
        <f t="shared" si="0"/>
        <v>0</v>
      </c>
    </row>
    <row r="27" spans="1:17" ht="12.75">
      <c r="A27" s="11" t="s">
        <v>219</v>
      </c>
      <c r="B27" s="11"/>
      <c r="C27" s="84"/>
      <c r="D27" s="84"/>
      <c r="E27" s="84"/>
      <c r="F27" s="84">
        <f t="shared" si="2"/>
        <v>0</v>
      </c>
      <c r="G27" s="84"/>
      <c r="H27" s="84"/>
      <c r="I27" s="84">
        <f t="shared" si="3"/>
        <v>0</v>
      </c>
      <c r="J27" s="84">
        <v>960.4</v>
      </c>
      <c r="K27" s="84"/>
      <c r="L27" s="84">
        <f t="shared" si="4"/>
        <v>960.4</v>
      </c>
      <c r="M27" s="84"/>
      <c r="N27" s="84"/>
      <c r="O27" s="84">
        <f t="shared" si="5"/>
        <v>960.4</v>
      </c>
      <c r="P27" s="55"/>
      <c r="Q27" s="53">
        <f t="shared" si="0"/>
        <v>960.4</v>
      </c>
    </row>
    <row r="28" spans="1:17" ht="12.75">
      <c r="A28" s="11" t="s">
        <v>359</v>
      </c>
      <c r="B28" s="11"/>
      <c r="C28" s="84"/>
      <c r="D28" s="84"/>
      <c r="E28" s="84"/>
      <c r="F28" s="84"/>
      <c r="G28" s="84"/>
      <c r="H28" s="84"/>
      <c r="I28" s="84">
        <f t="shared" si="3"/>
        <v>0</v>
      </c>
      <c r="J28" s="84"/>
      <c r="K28" s="84">
        <f>1000+5000</f>
        <v>6000</v>
      </c>
      <c r="L28" s="84">
        <f t="shared" si="4"/>
        <v>6000</v>
      </c>
      <c r="M28" s="84"/>
      <c r="N28" s="84"/>
      <c r="O28" s="84">
        <f t="shared" si="5"/>
        <v>6000</v>
      </c>
      <c r="P28" s="55"/>
      <c r="Q28" s="53"/>
    </row>
    <row r="29" spans="1:17" ht="12.75">
      <c r="A29" s="11" t="s">
        <v>220</v>
      </c>
      <c r="B29" s="11"/>
      <c r="C29" s="84"/>
      <c r="D29" s="84"/>
      <c r="E29" s="84"/>
      <c r="F29" s="84">
        <f t="shared" si="2"/>
        <v>0</v>
      </c>
      <c r="G29" s="84"/>
      <c r="H29" s="84"/>
      <c r="I29" s="84">
        <f t="shared" si="3"/>
        <v>0</v>
      </c>
      <c r="J29" s="84">
        <v>74.4</v>
      </c>
      <c r="K29" s="84"/>
      <c r="L29" s="84">
        <f t="shared" si="4"/>
        <v>74.4</v>
      </c>
      <c r="M29" s="84"/>
      <c r="N29" s="84"/>
      <c r="O29" s="84">
        <f t="shared" si="5"/>
        <v>74.4</v>
      </c>
      <c r="P29" s="55"/>
      <c r="Q29" s="53">
        <f t="shared" si="0"/>
        <v>74.4</v>
      </c>
    </row>
    <row r="30" spans="1:17" ht="12.75">
      <c r="A30" s="11" t="s">
        <v>221</v>
      </c>
      <c r="B30" s="11"/>
      <c r="C30" s="84"/>
      <c r="D30" s="84"/>
      <c r="E30" s="84"/>
      <c r="F30" s="84">
        <f t="shared" si="2"/>
        <v>0</v>
      </c>
      <c r="G30" s="84">
        <f>7.8</f>
        <v>7.8</v>
      </c>
      <c r="H30" s="84"/>
      <c r="I30" s="84">
        <f t="shared" si="3"/>
        <v>7.8</v>
      </c>
      <c r="J30" s="84">
        <v>2184.4</v>
      </c>
      <c r="K30" s="84"/>
      <c r="L30" s="84">
        <f t="shared" si="4"/>
        <v>2192.2000000000003</v>
      </c>
      <c r="M30" s="84">
        <v>193.8</v>
      </c>
      <c r="N30" s="84"/>
      <c r="O30" s="84">
        <f t="shared" si="5"/>
        <v>2386.0000000000005</v>
      </c>
      <c r="P30" s="55"/>
      <c r="Q30" s="53">
        <f t="shared" si="0"/>
        <v>2386.0000000000005</v>
      </c>
    </row>
    <row r="31" spans="1:17" ht="12.75" hidden="1">
      <c r="A31" s="11" t="s">
        <v>205</v>
      </c>
      <c r="B31" s="11"/>
      <c r="C31" s="84"/>
      <c r="D31" s="84"/>
      <c r="E31" s="84"/>
      <c r="F31" s="84">
        <f t="shared" si="2"/>
        <v>0</v>
      </c>
      <c r="G31" s="84"/>
      <c r="H31" s="84"/>
      <c r="I31" s="84">
        <f t="shared" si="3"/>
        <v>0</v>
      </c>
      <c r="J31" s="84"/>
      <c r="K31" s="84"/>
      <c r="L31" s="84">
        <f t="shared" si="4"/>
        <v>0</v>
      </c>
      <c r="M31" s="84"/>
      <c r="N31" s="84"/>
      <c r="O31" s="84">
        <f t="shared" si="5"/>
        <v>0</v>
      </c>
      <c r="P31" s="55"/>
      <c r="Q31" s="53">
        <f t="shared" si="0"/>
        <v>0</v>
      </c>
    </row>
    <row r="32" spans="1:17" ht="12.75" hidden="1">
      <c r="A32" s="11" t="s">
        <v>222</v>
      </c>
      <c r="B32" s="11"/>
      <c r="C32" s="84"/>
      <c r="D32" s="84"/>
      <c r="E32" s="84"/>
      <c r="F32" s="84">
        <f t="shared" si="2"/>
        <v>0</v>
      </c>
      <c r="G32" s="84"/>
      <c r="H32" s="84"/>
      <c r="I32" s="84">
        <f t="shared" si="3"/>
        <v>0</v>
      </c>
      <c r="J32" s="84"/>
      <c r="K32" s="84"/>
      <c r="L32" s="84">
        <f t="shared" si="4"/>
        <v>0</v>
      </c>
      <c r="M32" s="84"/>
      <c r="N32" s="84"/>
      <c r="O32" s="84">
        <f t="shared" si="5"/>
        <v>0</v>
      </c>
      <c r="P32" s="55"/>
      <c r="Q32" s="53">
        <f t="shared" si="0"/>
        <v>0</v>
      </c>
    </row>
    <row r="33" spans="1:17" ht="12.75">
      <c r="A33" s="11" t="s">
        <v>383</v>
      </c>
      <c r="B33" s="11"/>
      <c r="C33" s="84"/>
      <c r="D33" s="84"/>
      <c r="E33" s="84"/>
      <c r="F33" s="84"/>
      <c r="G33" s="84"/>
      <c r="H33" s="84"/>
      <c r="I33" s="84"/>
      <c r="J33" s="84"/>
      <c r="K33" s="84"/>
      <c r="L33" s="84">
        <f t="shared" si="4"/>
        <v>0</v>
      </c>
      <c r="M33" s="84">
        <v>105.1</v>
      </c>
      <c r="N33" s="84"/>
      <c r="O33" s="84">
        <f t="shared" si="5"/>
        <v>105.1</v>
      </c>
      <c r="P33" s="55"/>
      <c r="Q33" s="53"/>
    </row>
    <row r="34" spans="1:17" ht="12.75">
      <c r="A34" s="11" t="s">
        <v>223</v>
      </c>
      <c r="B34" s="11"/>
      <c r="C34" s="84"/>
      <c r="D34" s="84"/>
      <c r="E34" s="84"/>
      <c r="F34" s="84">
        <f t="shared" si="2"/>
        <v>0</v>
      </c>
      <c r="G34" s="84">
        <v>9.3</v>
      </c>
      <c r="H34" s="84"/>
      <c r="I34" s="84">
        <f t="shared" si="3"/>
        <v>9.3</v>
      </c>
      <c r="J34" s="84"/>
      <c r="K34" s="84"/>
      <c r="L34" s="84">
        <f t="shared" si="4"/>
        <v>9.3</v>
      </c>
      <c r="M34" s="84"/>
      <c r="N34" s="84"/>
      <c r="O34" s="84">
        <f t="shared" si="5"/>
        <v>9.3</v>
      </c>
      <c r="P34" s="55"/>
      <c r="Q34" s="53">
        <f t="shared" si="0"/>
        <v>9.3</v>
      </c>
    </row>
    <row r="35" spans="1:17" ht="12.75">
      <c r="A35" s="10" t="s">
        <v>31</v>
      </c>
      <c r="B35" s="10"/>
      <c r="C35" s="84">
        <f aca="true" t="shared" si="6" ref="C35:O35">SUM(C36:C40)</f>
        <v>125051.5</v>
      </c>
      <c r="D35" s="84">
        <f t="shared" si="6"/>
        <v>0</v>
      </c>
      <c r="E35" s="84">
        <f t="shared" si="6"/>
        <v>0</v>
      </c>
      <c r="F35" s="84">
        <f t="shared" si="6"/>
        <v>125051.5</v>
      </c>
      <c r="G35" s="84">
        <f t="shared" si="6"/>
        <v>0</v>
      </c>
      <c r="H35" s="84">
        <f t="shared" si="6"/>
        <v>-2490.1</v>
      </c>
      <c r="I35" s="84">
        <f t="shared" si="6"/>
        <v>122561.4</v>
      </c>
      <c r="J35" s="84">
        <f t="shared" si="6"/>
        <v>-3312</v>
      </c>
      <c r="K35" s="84">
        <f t="shared" si="6"/>
        <v>291.5</v>
      </c>
      <c r="L35" s="84">
        <f t="shared" si="6"/>
        <v>119540.9</v>
      </c>
      <c r="M35" s="84">
        <f t="shared" si="6"/>
        <v>0</v>
      </c>
      <c r="N35" s="84">
        <f t="shared" si="6"/>
        <v>0</v>
      </c>
      <c r="O35" s="84">
        <f t="shared" si="6"/>
        <v>119540.9</v>
      </c>
      <c r="P35" s="57"/>
      <c r="Q35" s="45">
        <f>SUM(Q36:Q40)</f>
        <v>119540.9</v>
      </c>
    </row>
    <row r="36" spans="1:17" ht="12.75">
      <c r="A36" s="10" t="s">
        <v>32</v>
      </c>
      <c r="B36" s="10"/>
      <c r="C36" s="84">
        <v>41733</v>
      </c>
      <c r="D36" s="84"/>
      <c r="E36" s="84"/>
      <c r="F36" s="84">
        <f>C36+D36+E36</f>
        <v>41733</v>
      </c>
      <c r="G36" s="84"/>
      <c r="H36" s="84">
        <v>-2490.1</v>
      </c>
      <c r="I36" s="84">
        <f>F36+G36+H36</f>
        <v>39242.9</v>
      </c>
      <c r="J36" s="84"/>
      <c r="K36" s="84">
        <v>291.5</v>
      </c>
      <c r="L36" s="84">
        <f>I36+J36+K36</f>
        <v>39534.4</v>
      </c>
      <c r="M36" s="84"/>
      <c r="N36" s="84"/>
      <c r="O36" s="84">
        <f>L36+M36+N36</f>
        <v>39534.4</v>
      </c>
      <c r="P36" s="55"/>
      <c r="Q36" s="53">
        <f t="shared" si="0"/>
        <v>39534.4</v>
      </c>
    </row>
    <row r="37" spans="1:17" ht="12.75">
      <c r="A37" s="11" t="s">
        <v>224</v>
      </c>
      <c r="B37" s="11"/>
      <c r="C37" s="84">
        <v>10810</v>
      </c>
      <c r="D37" s="84"/>
      <c r="E37" s="84"/>
      <c r="F37" s="84">
        <f>C37+D37+E37</f>
        <v>10810</v>
      </c>
      <c r="G37" s="84"/>
      <c r="H37" s="84"/>
      <c r="I37" s="84">
        <f>F37+G37+H37</f>
        <v>10810</v>
      </c>
      <c r="J37" s="84"/>
      <c r="K37" s="84"/>
      <c r="L37" s="84">
        <f>I37+J37+K37</f>
        <v>10810</v>
      </c>
      <c r="M37" s="84"/>
      <c r="N37" s="84"/>
      <c r="O37" s="84">
        <f>L37+M37+N37</f>
        <v>10810</v>
      </c>
      <c r="P37" s="55"/>
      <c r="Q37" s="53">
        <f t="shared" si="0"/>
        <v>10810</v>
      </c>
    </row>
    <row r="38" spans="1:17" ht="12.75">
      <c r="A38" s="10" t="s">
        <v>33</v>
      </c>
      <c r="B38" s="10"/>
      <c r="C38" s="84">
        <v>21684</v>
      </c>
      <c r="D38" s="84"/>
      <c r="E38" s="84"/>
      <c r="F38" s="84">
        <f>C38+D38+E38</f>
        <v>21684</v>
      </c>
      <c r="G38" s="84"/>
      <c r="H38" s="84"/>
      <c r="I38" s="84">
        <f>F38+G38+H38</f>
        <v>21684</v>
      </c>
      <c r="J38" s="84">
        <v>-532</v>
      </c>
      <c r="K38" s="84"/>
      <c r="L38" s="84">
        <f>I38+J38+K38</f>
        <v>21152</v>
      </c>
      <c r="M38" s="84"/>
      <c r="N38" s="84"/>
      <c r="O38" s="84">
        <f>L38+M38+N38</f>
        <v>21152</v>
      </c>
      <c r="P38" s="55"/>
      <c r="Q38" s="53">
        <f t="shared" si="0"/>
        <v>21152</v>
      </c>
    </row>
    <row r="39" spans="1:17" ht="12.75">
      <c r="A39" s="11" t="s">
        <v>225</v>
      </c>
      <c r="B39" s="11"/>
      <c r="C39" s="84">
        <v>13408.5</v>
      </c>
      <c r="D39" s="84"/>
      <c r="E39" s="84"/>
      <c r="F39" s="84">
        <f>C39+D39+E39</f>
        <v>13408.5</v>
      </c>
      <c r="G39" s="84"/>
      <c r="H39" s="84"/>
      <c r="I39" s="84">
        <f>F39+G39+H39</f>
        <v>13408.5</v>
      </c>
      <c r="J39" s="84"/>
      <c r="K39" s="84"/>
      <c r="L39" s="84">
        <f>I39+J39+K39</f>
        <v>13408.5</v>
      </c>
      <c r="M39" s="84"/>
      <c r="N39" s="84"/>
      <c r="O39" s="84">
        <f>L39+M39+N39</f>
        <v>13408.5</v>
      </c>
      <c r="P39" s="55"/>
      <c r="Q39" s="53">
        <f t="shared" si="0"/>
        <v>13408.5</v>
      </c>
    </row>
    <row r="40" spans="1:17" ht="12.75">
      <c r="A40" s="11" t="s">
        <v>226</v>
      </c>
      <c r="B40" s="11"/>
      <c r="C40" s="84">
        <v>37416</v>
      </c>
      <c r="D40" s="84"/>
      <c r="E40" s="84"/>
      <c r="F40" s="84">
        <f>C40+D40+E40</f>
        <v>37416</v>
      </c>
      <c r="G40" s="84"/>
      <c r="H40" s="84"/>
      <c r="I40" s="84">
        <f>F40+G40+H40</f>
        <v>37416</v>
      </c>
      <c r="J40" s="84">
        <v>-2780</v>
      </c>
      <c r="K40" s="84"/>
      <c r="L40" s="84">
        <f>I40+J40+K40</f>
        <v>34636</v>
      </c>
      <c r="M40" s="84"/>
      <c r="N40" s="84"/>
      <c r="O40" s="84">
        <f>L40+M40+N40</f>
        <v>34636</v>
      </c>
      <c r="P40" s="55"/>
      <c r="Q40" s="53">
        <f t="shared" si="0"/>
        <v>34636</v>
      </c>
    </row>
    <row r="41" spans="1:17" ht="12.75">
      <c r="A41" s="12" t="s">
        <v>34</v>
      </c>
      <c r="B41" s="12"/>
      <c r="C41" s="85">
        <f aca="true" t="shared" si="7" ref="C41:O41">SUM(C43:C47)</f>
        <v>18706.6</v>
      </c>
      <c r="D41" s="85">
        <f t="shared" si="7"/>
        <v>0</v>
      </c>
      <c r="E41" s="85">
        <f t="shared" si="7"/>
        <v>0</v>
      </c>
      <c r="F41" s="85">
        <f t="shared" si="7"/>
        <v>18706.6</v>
      </c>
      <c r="G41" s="85">
        <f t="shared" si="7"/>
        <v>0</v>
      </c>
      <c r="H41" s="85">
        <f t="shared" si="7"/>
        <v>0</v>
      </c>
      <c r="I41" s="85">
        <f t="shared" si="7"/>
        <v>18706.6</v>
      </c>
      <c r="J41" s="85">
        <f t="shared" si="7"/>
        <v>19946.2</v>
      </c>
      <c r="K41" s="85">
        <f t="shared" si="7"/>
        <v>2700</v>
      </c>
      <c r="L41" s="85">
        <f t="shared" si="7"/>
        <v>41352.8</v>
      </c>
      <c r="M41" s="85">
        <f t="shared" si="7"/>
        <v>0</v>
      </c>
      <c r="N41" s="85">
        <f t="shared" si="7"/>
        <v>0</v>
      </c>
      <c r="O41" s="85">
        <f t="shared" si="7"/>
        <v>41352.8</v>
      </c>
      <c r="P41" s="58"/>
      <c r="Q41" s="7">
        <f>SUM(Q43:Q47)</f>
        <v>37838.8</v>
      </c>
    </row>
    <row r="42" spans="1:17" ht="13.5" customHeight="1">
      <c r="A42" s="9" t="s">
        <v>23</v>
      </c>
      <c r="B42" s="9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55"/>
      <c r="Q42" s="53"/>
    </row>
    <row r="43" spans="1:17" ht="12.75">
      <c r="A43" s="10" t="s">
        <v>35</v>
      </c>
      <c r="B43" s="10"/>
      <c r="C43" s="84"/>
      <c r="D43" s="84"/>
      <c r="E43" s="84"/>
      <c r="F43" s="84">
        <f>C43+D43+E43</f>
        <v>0</v>
      </c>
      <c r="G43" s="84"/>
      <c r="H43" s="84"/>
      <c r="I43" s="84">
        <f>F43+G43+H43</f>
        <v>0</v>
      </c>
      <c r="J43" s="84"/>
      <c r="K43" s="84">
        <v>2700</v>
      </c>
      <c r="L43" s="84">
        <f>I43+J43+K43</f>
        <v>2700</v>
      </c>
      <c r="M43" s="84"/>
      <c r="N43" s="84"/>
      <c r="O43" s="84">
        <f>L43+M43+N43</f>
        <v>2700</v>
      </c>
      <c r="P43" s="55"/>
      <c r="Q43" s="53">
        <f t="shared" si="0"/>
        <v>2700</v>
      </c>
    </row>
    <row r="44" spans="1:17" ht="12.75">
      <c r="A44" s="11" t="s">
        <v>227</v>
      </c>
      <c r="B44" s="11"/>
      <c r="C44" s="84">
        <v>18706.6</v>
      </c>
      <c r="D44" s="84"/>
      <c r="E44" s="84"/>
      <c r="F44" s="84">
        <f>C44+D44+E44</f>
        <v>18706.6</v>
      </c>
      <c r="G44" s="84"/>
      <c r="H44" s="84"/>
      <c r="I44" s="84">
        <f>F44+G44+H44</f>
        <v>18706.6</v>
      </c>
      <c r="J44" s="91">
        <v>16432.2</v>
      </c>
      <c r="K44" s="84"/>
      <c r="L44" s="84">
        <f>I44+J44+K44</f>
        <v>35138.8</v>
      </c>
      <c r="M44" s="91"/>
      <c r="N44" s="84"/>
      <c r="O44" s="84">
        <f>L44+M44+N44</f>
        <v>35138.8</v>
      </c>
      <c r="P44" s="55"/>
      <c r="Q44" s="53">
        <f t="shared" si="0"/>
        <v>35138.8</v>
      </c>
    </row>
    <row r="45" spans="1:17" ht="12.75" hidden="1">
      <c r="A45" s="11" t="s">
        <v>228</v>
      </c>
      <c r="B45" s="11"/>
      <c r="C45" s="84"/>
      <c r="D45" s="84"/>
      <c r="E45" s="84"/>
      <c r="F45" s="84">
        <f>C45+D45+E45</f>
        <v>0</v>
      </c>
      <c r="G45" s="84"/>
      <c r="H45" s="84"/>
      <c r="I45" s="84">
        <f>F45+G45+H45</f>
        <v>0</v>
      </c>
      <c r="J45" s="91"/>
      <c r="K45" s="84"/>
      <c r="L45" s="84">
        <f>I45+J45+K45</f>
        <v>0</v>
      </c>
      <c r="M45" s="91"/>
      <c r="N45" s="84"/>
      <c r="O45" s="84">
        <f>L45+M45+N45</f>
        <v>0</v>
      </c>
      <c r="P45" s="55"/>
      <c r="Q45" s="53">
        <f t="shared" si="0"/>
        <v>0</v>
      </c>
    </row>
    <row r="46" spans="1:17" ht="12.75">
      <c r="A46" s="11" t="s">
        <v>56</v>
      </c>
      <c r="B46" s="11"/>
      <c r="C46" s="84"/>
      <c r="D46" s="84"/>
      <c r="E46" s="84"/>
      <c r="F46" s="84"/>
      <c r="G46" s="84"/>
      <c r="H46" s="84"/>
      <c r="I46" s="84">
        <f>F46+G46+H46</f>
        <v>0</v>
      </c>
      <c r="J46" s="91">
        <v>3514</v>
      </c>
      <c r="K46" s="84"/>
      <c r="L46" s="84">
        <f>I46+J46+K46</f>
        <v>3514</v>
      </c>
      <c r="M46" s="91"/>
      <c r="N46" s="84"/>
      <c r="O46" s="84">
        <f>L46+M46+N46</f>
        <v>3514</v>
      </c>
      <c r="P46" s="55"/>
      <c r="Q46" s="53"/>
    </row>
    <row r="47" spans="1:17" ht="12.75" hidden="1">
      <c r="A47" s="10" t="s">
        <v>36</v>
      </c>
      <c r="B47" s="10"/>
      <c r="C47" s="84"/>
      <c r="D47" s="84"/>
      <c r="E47" s="84"/>
      <c r="F47" s="84">
        <f>C47+D47+E47</f>
        <v>0</v>
      </c>
      <c r="G47" s="84"/>
      <c r="H47" s="84"/>
      <c r="I47" s="84">
        <f>F47+G47+H47</f>
        <v>0</v>
      </c>
      <c r="J47" s="84"/>
      <c r="K47" s="84"/>
      <c r="L47" s="84">
        <f>I47+J47+K47</f>
        <v>0</v>
      </c>
      <c r="M47" s="84"/>
      <c r="N47" s="84"/>
      <c r="O47" s="84">
        <f>L47+M47+N47</f>
        <v>0</v>
      </c>
      <c r="P47" s="55"/>
      <c r="Q47" s="53">
        <f t="shared" si="0"/>
        <v>0</v>
      </c>
    </row>
    <row r="48" spans="1:17" ht="12.75">
      <c r="A48" s="8" t="s">
        <v>37</v>
      </c>
      <c r="B48" s="8"/>
      <c r="C48" s="83">
        <f>SUM(C50:C70)</f>
        <v>72553</v>
      </c>
      <c r="D48" s="83">
        <f aca="true" t="shared" si="8" ref="D48:O48">SUM(D50:D70)</f>
        <v>0</v>
      </c>
      <c r="E48" s="83">
        <f t="shared" si="8"/>
        <v>0</v>
      </c>
      <c r="F48" s="83">
        <f t="shared" si="8"/>
        <v>72553</v>
      </c>
      <c r="G48" s="83">
        <f t="shared" si="8"/>
        <v>4408179.4</v>
      </c>
      <c r="H48" s="83">
        <f t="shared" si="8"/>
        <v>0</v>
      </c>
      <c r="I48" s="83">
        <f t="shared" si="8"/>
        <v>4480732.4</v>
      </c>
      <c r="J48" s="83">
        <f t="shared" si="8"/>
        <v>436740.70000000007</v>
      </c>
      <c r="K48" s="83">
        <f t="shared" si="8"/>
        <v>163.3</v>
      </c>
      <c r="L48" s="83">
        <f t="shared" si="8"/>
        <v>4917636.4</v>
      </c>
      <c r="M48" s="83">
        <f t="shared" si="8"/>
        <v>201677.10000000003</v>
      </c>
      <c r="N48" s="83">
        <f t="shared" si="8"/>
        <v>0</v>
      </c>
      <c r="O48" s="83">
        <f t="shared" si="8"/>
        <v>5119313.499999999</v>
      </c>
      <c r="P48" s="56"/>
      <c r="Q48" s="38">
        <f>SUM(Q50:Q70)</f>
        <v>5118707.299999999</v>
      </c>
    </row>
    <row r="49" spans="1:17" ht="10.5" customHeight="1">
      <c r="A49" s="13" t="s">
        <v>38</v>
      </c>
      <c r="B49" s="1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55"/>
      <c r="Q49" s="53"/>
    </row>
    <row r="50" spans="1:17" ht="12.75">
      <c r="A50" s="11" t="s">
        <v>39</v>
      </c>
      <c r="B50" s="11"/>
      <c r="C50" s="84">
        <v>72303</v>
      </c>
      <c r="D50" s="84"/>
      <c r="E50" s="84"/>
      <c r="F50" s="84">
        <f>C50+D50+E50</f>
        <v>72303</v>
      </c>
      <c r="G50" s="84"/>
      <c r="H50" s="84"/>
      <c r="I50" s="84">
        <f>F50+G50+H50</f>
        <v>72303</v>
      </c>
      <c r="J50" s="84"/>
      <c r="K50" s="84"/>
      <c r="L50" s="84">
        <f>I50+J50+K50</f>
        <v>72303</v>
      </c>
      <c r="M50" s="84"/>
      <c r="N50" s="84"/>
      <c r="O50" s="84">
        <f>L50+M50+N50</f>
        <v>72303</v>
      </c>
      <c r="P50" s="55"/>
      <c r="Q50" s="53">
        <f t="shared" si="0"/>
        <v>72303</v>
      </c>
    </row>
    <row r="51" spans="1:17" ht="12.75">
      <c r="A51" s="11" t="s">
        <v>40</v>
      </c>
      <c r="B51" s="11"/>
      <c r="C51" s="84"/>
      <c r="D51" s="84"/>
      <c r="E51" s="84"/>
      <c r="F51" s="84">
        <f aca="true" t="shared" si="9" ref="F51:F70">C51+D51+E51</f>
        <v>0</v>
      </c>
      <c r="G51" s="84">
        <f>100+20.1+139.7</f>
        <v>259.79999999999995</v>
      </c>
      <c r="H51" s="84"/>
      <c r="I51" s="84">
        <f aca="true" t="shared" si="10" ref="I51:I70">F51+G51+H51</f>
        <v>259.79999999999995</v>
      </c>
      <c r="J51" s="84">
        <f>180.3+15+353.6+92.9+61.5+764.7</f>
        <v>1468</v>
      </c>
      <c r="K51" s="84"/>
      <c r="L51" s="84">
        <f aca="true" t="shared" si="11" ref="L51:L70">I51+J51+K51</f>
        <v>1727.8</v>
      </c>
      <c r="M51" s="84">
        <f>239.2+30000+15+77.9+56.7</f>
        <v>30388.800000000003</v>
      </c>
      <c r="N51" s="84"/>
      <c r="O51" s="84">
        <f aca="true" t="shared" si="12" ref="O51:O70">L51+M51+N51</f>
        <v>32116.600000000002</v>
      </c>
      <c r="P51" s="55"/>
      <c r="Q51" s="53">
        <f t="shared" si="0"/>
        <v>32116.600000000002</v>
      </c>
    </row>
    <row r="52" spans="1:17" ht="12.75">
      <c r="A52" s="11" t="s">
        <v>41</v>
      </c>
      <c r="B52" s="11"/>
      <c r="C52" s="84"/>
      <c r="D52" s="84"/>
      <c r="E52" s="84"/>
      <c r="F52" s="84">
        <f t="shared" si="9"/>
        <v>0</v>
      </c>
      <c r="G52" s="84">
        <f>48790+2320.8+1373+144+11750.2+8044.1+233.7+5119.4+838.7+3968.6+1445.4+1853.5+4299489+1292+11943.3</f>
        <v>4398605.7</v>
      </c>
      <c r="H52" s="84"/>
      <c r="I52" s="84">
        <f t="shared" si="10"/>
        <v>4398605.7</v>
      </c>
      <c r="J52" s="84">
        <f>1316.3+5993.1+7.9+3172.3+746.6+354+385.1+48160+4206.7+330+26.7+9608.9+296.7+3582.6+22274.8</f>
        <v>100461.7</v>
      </c>
      <c r="K52" s="84">
        <v>163.3</v>
      </c>
      <c r="L52" s="84">
        <f t="shared" si="11"/>
        <v>4499230.7</v>
      </c>
      <c r="M52" s="84">
        <f>1186.3+549.3+863.6+916.8+2983.6+2638.3+389.3+2529.8+1787.3+48470+562.5+150.4+4365.9+7585+100+1082.2-70.2+1752.1+2290.3+1239.5+121.4+1668.5+1121.5+3025.8+2237.2+2675.8-309.5+80.1</f>
        <v>91992.80000000002</v>
      </c>
      <c r="N52" s="84"/>
      <c r="O52" s="84">
        <f t="shared" si="12"/>
        <v>4591223.5</v>
      </c>
      <c r="P52" s="55"/>
      <c r="Q52" s="53">
        <f t="shared" si="0"/>
        <v>4591223.5</v>
      </c>
    </row>
    <row r="53" spans="1:17" ht="12.75">
      <c r="A53" s="11" t="s">
        <v>42</v>
      </c>
      <c r="B53" s="11"/>
      <c r="C53" s="84"/>
      <c r="D53" s="84"/>
      <c r="E53" s="84"/>
      <c r="F53" s="84">
        <f t="shared" si="9"/>
        <v>0</v>
      </c>
      <c r="G53" s="84">
        <f>3662.5+648.4</f>
        <v>4310.9</v>
      </c>
      <c r="H53" s="84"/>
      <c r="I53" s="84">
        <f t="shared" si="10"/>
        <v>4310.9</v>
      </c>
      <c r="J53" s="84">
        <f>1434.8+389+4120.9+11187.6+1264.7+33000+332.4+1452.5+12000</f>
        <v>65181.9</v>
      </c>
      <c r="K53" s="84"/>
      <c r="L53" s="84">
        <f t="shared" si="11"/>
        <v>69492.8</v>
      </c>
      <c r="M53" s="84">
        <f>3500+12+373.2</f>
        <v>3885.2</v>
      </c>
      <c r="N53" s="84"/>
      <c r="O53" s="84">
        <f t="shared" si="12"/>
        <v>73378</v>
      </c>
      <c r="P53" s="55"/>
      <c r="Q53" s="53">
        <f t="shared" si="0"/>
        <v>73378</v>
      </c>
    </row>
    <row r="54" spans="1:17" ht="12.75">
      <c r="A54" s="11" t="s">
        <v>43</v>
      </c>
      <c r="B54" s="11"/>
      <c r="C54" s="84"/>
      <c r="D54" s="84"/>
      <c r="E54" s="84"/>
      <c r="F54" s="84">
        <f t="shared" si="9"/>
        <v>0</v>
      </c>
      <c r="G54" s="84"/>
      <c r="H54" s="84"/>
      <c r="I54" s="84">
        <f t="shared" si="10"/>
        <v>0</v>
      </c>
      <c r="J54" s="84">
        <f>9.2+514.4</f>
        <v>523.6</v>
      </c>
      <c r="K54" s="84"/>
      <c r="L54" s="84">
        <f t="shared" si="11"/>
        <v>523.6</v>
      </c>
      <c r="M54" s="84">
        <f>6.3+6.1+187.6+57.5</f>
        <v>257.5</v>
      </c>
      <c r="N54" s="84"/>
      <c r="O54" s="84">
        <f t="shared" si="12"/>
        <v>781.1</v>
      </c>
      <c r="P54" s="55"/>
      <c r="Q54" s="53">
        <f t="shared" si="0"/>
        <v>781.1</v>
      </c>
    </row>
    <row r="55" spans="1:17" ht="12.75">
      <c r="A55" s="11" t="s">
        <v>44</v>
      </c>
      <c r="B55" s="11"/>
      <c r="C55" s="84"/>
      <c r="D55" s="84"/>
      <c r="E55" s="84"/>
      <c r="F55" s="84">
        <f t="shared" si="9"/>
        <v>0</v>
      </c>
      <c r="G55" s="84"/>
      <c r="H55" s="84"/>
      <c r="I55" s="84">
        <f t="shared" si="10"/>
        <v>0</v>
      </c>
      <c r="J55" s="84"/>
      <c r="K55" s="84"/>
      <c r="L55" s="84">
        <f t="shared" si="11"/>
        <v>0</v>
      </c>
      <c r="M55" s="84">
        <f>325+348</f>
        <v>673</v>
      </c>
      <c r="N55" s="84"/>
      <c r="O55" s="84">
        <f t="shared" si="12"/>
        <v>673</v>
      </c>
      <c r="P55" s="55"/>
      <c r="Q55" s="53">
        <f t="shared" si="0"/>
        <v>673</v>
      </c>
    </row>
    <row r="56" spans="1:17" ht="12.75">
      <c r="A56" s="11" t="s">
        <v>45</v>
      </c>
      <c r="B56" s="11"/>
      <c r="C56" s="84"/>
      <c r="D56" s="84"/>
      <c r="E56" s="84"/>
      <c r="F56" s="84">
        <f t="shared" si="9"/>
        <v>0</v>
      </c>
      <c r="G56" s="84"/>
      <c r="H56" s="84"/>
      <c r="I56" s="84">
        <f t="shared" si="10"/>
        <v>0</v>
      </c>
      <c r="J56" s="84">
        <f>30+5529.5</f>
        <v>5559.5</v>
      </c>
      <c r="K56" s="84"/>
      <c r="L56" s="84">
        <f t="shared" si="11"/>
        <v>5559.5</v>
      </c>
      <c r="M56" s="84">
        <f>100</f>
        <v>100</v>
      </c>
      <c r="N56" s="84"/>
      <c r="O56" s="84">
        <f t="shared" si="12"/>
        <v>5659.5</v>
      </c>
      <c r="P56" s="55"/>
      <c r="Q56" s="53">
        <f t="shared" si="0"/>
        <v>5659.5</v>
      </c>
    </row>
    <row r="57" spans="1:17" ht="12.75">
      <c r="A57" s="11" t="s">
        <v>46</v>
      </c>
      <c r="B57" s="11"/>
      <c r="C57" s="84"/>
      <c r="D57" s="84"/>
      <c r="E57" s="84"/>
      <c r="F57" s="84">
        <f t="shared" si="9"/>
        <v>0</v>
      </c>
      <c r="G57" s="84">
        <v>5003</v>
      </c>
      <c r="H57" s="84"/>
      <c r="I57" s="84">
        <f t="shared" si="10"/>
        <v>5003</v>
      </c>
      <c r="J57" s="84">
        <f>448+131+52.7</f>
        <v>631.7</v>
      </c>
      <c r="K57" s="84"/>
      <c r="L57" s="84">
        <f t="shared" si="11"/>
        <v>5634.7</v>
      </c>
      <c r="M57" s="84">
        <f>2323.9+517</f>
        <v>2840.9</v>
      </c>
      <c r="N57" s="84"/>
      <c r="O57" s="84">
        <f t="shared" si="12"/>
        <v>8475.6</v>
      </c>
      <c r="P57" s="55"/>
      <c r="Q57" s="53">
        <f t="shared" si="0"/>
        <v>8475.6</v>
      </c>
    </row>
    <row r="58" spans="1:17" ht="12.75">
      <c r="A58" s="11" t="s">
        <v>195</v>
      </c>
      <c r="B58" s="11"/>
      <c r="C58" s="84"/>
      <c r="D58" s="84"/>
      <c r="E58" s="84"/>
      <c r="F58" s="84">
        <f t="shared" si="9"/>
        <v>0</v>
      </c>
      <c r="G58" s="84"/>
      <c r="H58" s="84"/>
      <c r="I58" s="84">
        <f t="shared" si="10"/>
        <v>0</v>
      </c>
      <c r="J58" s="84">
        <v>254603</v>
      </c>
      <c r="K58" s="84"/>
      <c r="L58" s="84">
        <f t="shared" si="11"/>
        <v>254603</v>
      </c>
      <c r="M58" s="84"/>
      <c r="N58" s="84"/>
      <c r="O58" s="84">
        <f t="shared" si="12"/>
        <v>254603</v>
      </c>
      <c r="P58" s="55"/>
      <c r="Q58" s="53">
        <f t="shared" si="0"/>
        <v>254603</v>
      </c>
    </row>
    <row r="59" spans="1:17" ht="12.75" hidden="1">
      <c r="A59" s="11" t="s">
        <v>233</v>
      </c>
      <c r="B59" s="11"/>
      <c r="C59" s="84"/>
      <c r="D59" s="84"/>
      <c r="E59" s="84"/>
      <c r="F59" s="84">
        <f t="shared" si="9"/>
        <v>0</v>
      </c>
      <c r="G59" s="84"/>
      <c r="H59" s="84"/>
      <c r="I59" s="84">
        <f t="shared" si="10"/>
        <v>0</v>
      </c>
      <c r="J59" s="84"/>
      <c r="K59" s="84"/>
      <c r="L59" s="84">
        <f t="shared" si="11"/>
        <v>0</v>
      </c>
      <c r="M59" s="84"/>
      <c r="N59" s="84"/>
      <c r="O59" s="84">
        <f t="shared" si="12"/>
        <v>0</v>
      </c>
      <c r="P59" s="55"/>
      <c r="Q59" s="53">
        <f t="shared" si="0"/>
        <v>0</v>
      </c>
    </row>
    <row r="60" spans="1:17" ht="12.75">
      <c r="A60" s="11" t="s">
        <v>339</v>
      </c>
      <c r="B60" s="11"/>
      <c r="C60" s="84"/>
      <c r="D60" s="84"/>
      <c r="E60" s="84"/>
      <c r="F60" s="84"/>
      <c r="G60" s="84"/>
      <c r="H60" s="84"/>
      <c r="I60" s="84">
        <f t="shared" si="10"/>
        <v>0</v>
      </c>
      <c r="J60" s="84">
        <v>500</v>
      </c>
      <c r="K60" s="84"/>
      <c r="L60" s="84">
        <f t="shared" si="11"/>
        <v>500</v>
      </c>
      <c r="M60" s="84"/>
      <c r="N60" s="84"/>
      <c r="O60" s="84">
        <f t="shared" si="12"/>
        <v>500</v>
      </c>
      <c r="P60" s="55"/>
      <c r="Q60" s="53"/>
    </row>
    <row r="61" spans="1:17" ht="12.75">
      <c r="A61" s="11" t="s">
        <v>47</v>
      </c>
      <c r="B61" s="11"/>
      <c r="C61" s="84"/>
      <c r="D61" s="84"/>
      <c r="E61" s="84"/>
      <c r="F61" s="84">
        <f t="shared" si="9"/>
        <v>0</v>
      </c>
      <c r="G61" s="84"/>
      <c r="H61" s="84"/>
      <c r="I61" s="84">
        <f t="shared" si="10"/>
        <v>0</v>
      </c>
      <c r="J61" s="84">
        <f>154.5</f>
        <v>154.5</v>
      </c>
      <c r="K61" s="84"/>
      <c r="L61" s="84">
        <f t="shared" si="11"/>
        <v>154.5</v>
      </c>
      <c r="M61" s="84">
        <f>739.3+305.9</f>
        <v>1045.1999999999998</v>
      </c>
      <c r="N61" s="84"/>
      <c r="O61" s="84">
        <f t="shared" si="12"/>
        <v>1199.6999999999998</v>
      </c>
      <c r="P61" s="70"/>
      <c r="Q61" s="53">
        <f t="shared" si="0"/>
        <v>1199.6999999999998</v>
      </c>
    </row>
    <row r="62" spans="1:17" ht="12.75">
      <c r="A62" s="11" t="s">
        <v>48</v>
      </c>
      <c r="B62" s="11"/>
      <c r="C62" s="84"/>
      <c r="D62" s="84"/>
      <c r="E62" s="84"/>
      <c r="F62" s="84">
        <f t="shared" si="9"/>
        <v>0</v>
      </c>
      <c r="G62" s="84"/>
      <c r="H62" s="84"/>
      <c r="I62" s="84">
        <f t="shared" si="10"/>
        <v>0</v>
      </c>
      <c r="J62" s="91">
        <f>92+250</f>
        <v>342</v>
      </c>
      <c r="K62" s="84"/>
      <c r="L62" s="84">
        <f t="shared" si="11"/>
        <v>342</v>
      </c>
      <c r="M62" s="84"/>
      <c r="N62" s="84"/>
      <c r="O62" s="84">
        <f t="shared" si="12"/>
        <v>342</v>
      </c>
      <c r="P62" s="55"/>
      <c r="Q62" s="53">
        <f t="shared" si="0"/>
        <v>342</v>
      </c>
    </row>
    <row r="63" spans="1:17" ht="12.75" hidden="1">
      <c r="A63" s="11" t="s">
        <v>234</v>
      </c>
      <c r="B63" s="11"/>
      <c r="C63" s="84"/>
      <c r="D63" s="84"/>
      <c r="E63" s="84"/>
      <c r="F63" s="84">
        <f t="shared" si="9"/>
        <v>0</v>
      </c>
      <c r="G63" s="84"/>
      <c r="H63" s="84"/>
      <c r="I63" s="84">
        <f t="shared" si="10"/>
        <v>0</v>
      </c>
      <c r="J63" s="91"/>
      <c r="K63" s="84"/>
      <c r="L63" s="84">
        <f t="shared" si="11"/>
        <v>0</v>
      </c>
      <c r="M63" s="84"/>
      <c r="N63" s="84"/>
      <c r="O63" s="84">
        <f t="shared" si="12"/>
        <v>0</v>
      </c>
      <c r="P63" s="55"/>
      <c r="Q63" s="53">
        <f t="shared" si="0"/>
        <v>0</v>
      </c>
    </row>
    <row r="64" spans="1:17" ht="12.75" hidden="1">
      <c r="A64" s="11" t="s">
        <v>49</v>
      </c>
      <c r="B64" s="11"/>
      <c r="C64" s="84"/>
      <c r="D64" s="84"/>
      <c r="E64" s="84"/>
      <c r="F64" s="84">
        <f t="shared" si="9"/>
        <v>0</v>
      </c>
      <c r="G64" s="84"/>
      <c r="H64" s="84"/>
      <c r="I64" s="84">
        <f t="shared" si="10"/>
        <v>0</v>
      </c>
      <c r="J64" s="84"/>
      <c r="K64" s="84"/>
      <c r="L64" s="84">
        <f t="shared" si="11"/>
        <v>0</v>
      </c>
      <c r="M64" s="84"/>
      <c r="N64" s="84"/>
      <c r="O64" s="84">
        <f t="shared" si="12"/>
        <v>0</v>
      </c>
      <c r="P64" s="55"/>
      <c r="Q64" s="53">
        <f t="shared" si="0"/>
        <v>0</v>
      </c>
    </row>
    <row r="65" spans="1:17" ht="12.75">
      <c r="A65" s="11" t="s">
        <v>60</v>
      </c>
      <c r="B65" s="11"/>
      <c r="C65" s="84"/>
      <c r="D65" s="84"/>
      <c r="E65" s="84"/>
      <c r="F65" s="84">
        <f t="shared" si="9"/>
        <v>0</v>
      </c>
      <c r="G65" s="84"/>
      <c r="H65" s="84"/>
      <c r="I65" s="84">
        <f t="shared" si="10"/>
        <v>0</v>
      </c>
      <c r="J65" s="84">
        <f>965.9+2145.2+757.2+1286.6</f>
        <v>5154.9</v>
      </c>
      <c r="K65" s="84"/>
      <c r="L65" s="84">
        <f t="shared" si="11"/>
        <v>5154.9</v>
      </c>
      <c r="M65" s="84">
        <f>117.1+1432.5+1328.5+107+1082+57.1</f>
        <v>4124.2</v>
      </c>
      <c r="N65" s="84"/>
      <c r="O65" s="84">
        <f t="shared" si="12"/>
        <v>9279.099999999999</v>
      </c>
      <c r="P65" s="55"/>
      <c r="Q65" s="53">
        <f t="shared" si="0"/>
        <v>9279.099999999999</v>
      </c>
    </row>
    <row r="66" spans="1:17" ht="12.75">
      <c r="A66" s="11" t="s">
        <v>50</v>
      </c>
      <c r="B66" s="11"/>
      <c r="C66" s="84"/>
      <c r="D66" s="84"/>
      <c r="E66" s="84"/>
      <c r="F66" s="84">
        <f t="shared" si="9"/>
        <v>0</v>
      </c>
      <c r="G66" s="84"/>
      <c r="H66" s="84"/>
      <c r="I66" s="84">
        <f t="shared" si="10"/>
        <v>0</v>
      </c>
      <c r="J66" s="84"/>
      <c r="K66" s="84"/>
      <c r="L66" s="84">
        <f t="shared" si="11"/>
        <v>0</v>
      </c>
      <c r="M66" s="84">
        <f>65793</f>
        <v>65793</v>
      </c>
      <c r="N66" s="84"/>
      <c r="O66" s="84">
        <f t="shared" si="12"/>
        <v>65793</v>
      </c>
      <c r="P66" s="55"/>
      <c r="Q66" s="53">
        <f t="shared" si="0"/>
        <v>65793</v>
      </c>
    </row>
    <row r="67" spans="1:17" ht="12.75">
      <c r="A67" s="11" t="s">
        <v>51</v>
      </c>
      <c r="B67" s="11"/>
      <c r="C67" s="84"/>
      <c r="D67" s="84"/>
      <c r="E67" s="84"/>
      <c r="F67" s="84">
        <f t="shared" si="9"/>
        <v>0</v>
      </c>
      <c r="G67" s="84"/>
      <c r="H67" s="84"/>
      <c r="I67" s="84">
        <f t="shared" si="10"/>
        <v>0</v>
      </c>
      <c r="J67" s="84"/>
      <c r="K67" s="84"/>
      <c r="L67" s="84">
        <f t="shared" si="11"/>
        <v>0</v>
      </c>
      <c r="M67" s="84">
        <f>291.3</f>
        <v>291.3</v>
      </c>
      <c r="N67" s="84"/>
      <c r="O67" s="84">
        <f t="shared" si="12"/>
        <v>291.3</v>
      </c>
      <c r="P67" s="55"/>
      <c r="Q67" s="53">
        <f t="shared" si="0"/>
        <v>291.3</v>
      </c>
    </row>
    <row r="68" spans="1:17" ht="12.75">
      <c r="A68" s="11" t="s">
        <v>52</v>
      </c>
      <c r="B68" s="11"/>
      <c r="C68" s="84">
        <v>250</v>
      </c>
      <c r="D68" s="84"/>
      <c r="E68" s="84"/>
      <c r="F68" s="84">
        <f t="shared" si="9"/>
        <v>250</v>
      </c>
      <c r="G68" s="84"/>
      <c r="H68" s="84"/>
      <c r="I68" s="84">
        <f t="shared" si="10"/>
        <v>250</v>
      </c>
      <c r="J68" s="84">
        <v>2159.9</v>
      </c>
      <c r="K68" s="84"/>
      <c r="L68" s="84">
        <f t="shared" si="11"/>
        <v>2409.9</v>
      </c>
      <c r="M68" s="84">
        <f>120.2+58.8</f>
        <v>179</v>
      </c>
      <c r="N68" s="84"/>
      <c r="O68" s="84">
        <f t="shared" si="12"/>
        <v>2588.9</v>
      </c>
      <c r="P68" s="55"/>
      <c r="Q68" s="53">
        <f t="shared" si="0"/>
        <v>2588.9</v>
      </c>
    </row>
    <row r="69" spans="1:17" ht="12.75">
      <c r="A69" s="11" t="s">
        <v>384</v>
      </c>
      <c r="B69" s="11"/>
      <c r="C69" s="84"/>
      <c r="D69" s="84"/>
      <c r="E69" s="84"/>
      <c r="F69" s="84"/>
      <c r="G69" s="84"/>
      <c r="H69" s="84"/>
      <c r="I69" s="84"/>
      <c r="J69" s="84"/>
      <c r="K69" s="84"/>
      <c r="L69" s="84">
        <f t="shared" si="11"/>
        <v>0</v>
      </c>
      <c r="M69" s="84">
        <v>106.2</v>
      </c>
      <c r="N69" s="84"/>
      <c r="O69" s="84">
        <f t="shared" si="12"/>
        <v>106.2</v>
      </c>
      <c r="P69" s="55"/>
      <c r="Q69" s="53"/>
    </row>
    <row r="70" spans="1:17" ht="12.75" hidden="1">
      <c r="A70" s="11" t="s">
        <v>247</v>
      </c>
      <c r="B70" s="11"/>
      <c r="C70" s="84"/>
      <c r="D70" s="84"/>
      <c r="E70" s="84"/>
      <c r="F70" s="84">
        <f t="shared" si="9"/>
        <v>0</v>
      </c>
      <c r="G70" s="84"/>
      <c r="H70" s="84"/>
      <c r="I70" s="84">
        <f t="shared" si="10"/>
        <v>0</v>
      </c>
      <c r="J70" s="84"/>
      <c r="K70" s="84"/>
      <c r="L70" s="84">
        <f t="shared" si="11"/>
        <v>0</v>
      </c>
      <c r="M70" s="84"/>
      <c r="N70" s="84"/>
      <c r="O70" s="84">
        <f t="shared" si="12"/>
        <v>0</v>
      </c>
      <c r="P70" s="55"/>
      <c r="Q70" s="53">
        <f t="shared" si="0"/>
        <v>0</v>
      </c>
    </row>
    <row r="71" spans="1:17" ht="12.75" hidden="1">
      <c r="A71" s="12" t="s">
        <v>53</v>
      </c>
      <c r="B71" s="12"/>
      <c r="C71" s="85">
        <f>SUM(C73:C75)</f>
        <v>0</v>
      </c>
      <c r="D71" s="85">
        <f>SUM(D73:D75)</f>
        <v>0</v>
      </c>
      <c r="E71" s="85"/>
      <c r="F71" s="85">
        <f>SUM(F73:F75)</f>
        <v>0</v>
      </c>
      <c r="G71" s="85">
        <f>SUM(G73:G75)</f>
        <v>0</v>
      </c>
      <c r="H71" s="85">
        <f>SUM(H73:H75)</f>
        <v>0</v>
      </c>
      <c r="I71" s="85">
        <f>SUM(I73:I75)</f>
        <v>0</v>
      </c>
      <c r="J71" s="85"/>
      <c r="K71" s="85"/>
      <c r="L71" s="85">
        <f>SUM(L73:L75)</f>
        <v>0</v>
      </c>
      <c r="M71" s="85">
        <f>SUM(M73:M75)</f>
        <v>0</v>
      </c>
      <c r="N71" s="85">
        <f>SUM(N73:N75)</f>
        <v>0</v>
      </c>
      <c r="O71" s="85">
        <f>SUM(O73:O75)</f>
        <v>0</v>
      </c>
      <c r="P71" s="58"/>
      <c r="Q71" s="7">
        <f>SUM(Q73:Q75)</f>
        <v>0</v>
      </c>
    </row>
    <row r="72" spans="1:17" ht="12.75" hidden="1">
      <c r="A72" s="9" t="s">
        <v>38</v>
      </c>
      <c r="B72" s="9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>
        <f>L72+M72+N72</f>
        <v>0</v>
      </c>
      <c r="P72" s="55"/>
      <c r="Q72" s="53"/>
    </row>
    <row r="73" spans="1:17" ht="12.75" hidden="1">
      <c r="A73" s="11" t="s">
        <v>54</v>
      </c>
      <c r="B73" s="11"/>
      <c r="C73" s="84"/>
      <c r="D73" s="84"/>
      <c r="E73" s="84"/>
      <c r="F73" s="84">
        <f>C73+D73+E73</f>
        <v>0</v>
      </c>
      <c r="G73" s="84"/>
      <c r="H73" s="84"/>
      <c r="I73" s="84">
        <f>F73+G73+H73</f>
        <v>0</v>
      </c>
      <c r="J73" s="84"/>
      <c r="K73" s="84"/>
      <c r="L73" s="84">
        <f>I73+J73+K73</f>
        <v>0</v>
      </c>
      <c r="M73" s="84"/>
      <c r="N73" s="84"/>
      <c r="O73" s="84">
        <f>L73+M73+N73</f>
        <v>0</v>
      </c>
      <c r="P73" s="55"/>
      <c r="Q73" s="53">
        <f t="shared" si="0"/>
        <v>0</v>
      </c>
    </row>
    <row r="74" spans="1:17" ht="12.75" hidden="1">
      <c r="A74" s="11" t="s">
        <v>55</v>
      </c>
      <c r="B74" s="11"/>
      <c r="C74" s="84"/>
      <c r="D74" s="84"/>
      <c r="E74" s="84"/>
      <c r="F74" s="84">
        <f>C74+D74+E74</f>
        <v>0</v>
      </c>
      <c r="G74" s="84"/>
      <c r="H74" s="84"/>
      <c r="I74" s="84">
        <f>F74+G74+H74</f>
        <v>0</v>
      </c>
      <c r="J74" s="84"/>
      <c r="K74" s="84"/>
      <c r="L74" s="84">
        <f>I74+J74+K74</f>
        <v>0</v>
      </c>
      <c r="M74" s="84"/>
      <c r="N74" s="84"/>
      <c r="O74" s="84">
        <f>L74+M74+N74</f>
        <v>0</v>
      </c>
      <c r="P74" s="55"/>
      <c r="Q74" s="53">
        <f t="shared" si="0"/>
        <v>0</v>
      </c>
    </row>
    <row r="75" spans="1:17" ht="12.75" hidden="1">
      <c r="A75" s="11" t="s">
        <v>56</v>
      </c>
      <c r="B75" s="11"/>
      <c r="C75" s="84"/>
      <c r="D75" s="84"/>
      <c r="E75" s="84"/>
      <c r="F75" s="84">
        <f>C75+D75+E75</f>
        <v>0</v>
      </c>
      <c r="G75" s="84"/>
      <c r="H75" s="84"/>
      <c r="I75" s="84">
        <f>F75+G75+H75</f>
        <v>0</v>
      </c>
      <c r="J75" s="84"/>
      <c r="K75" s="84"/>
      <c r="L75" s="84">
        <f>I75+J75+K75</f>
        <v>0</v>
      </c>
      <c r="M75" s="84"/>
      <c r="N75" s="84"/>
      <c r="O75" s="84">
        <f>L75+M75+N75</f>
        <v>0</v>
      </c>
      <c r="P75" s="55"/>
      <c r="Q75" s="53">
        <f t="shared" si="0"/>
        <v>0</v>
      </c>
    </row>
    <row r="76" spans="1:17" ht="12.75">
      <c r="A76" s="8" t="s">
        <v>57</v>
      </c>
      <c r="B76" s="8"/>
      <c r="C76" s="83">
        <f>SUM(C78:C90)</f>
        <v>0</v>
      </c>
      <c r="D76" s="83">
        <f aca="true" t="shared" si="13" ref="D76:O76">SUM(D78:D90)</f>
        <v>0</v>
      </c>
      <c r="E76" s="83">
        <f t="shared" si="13"/>
        <v>0</v>
      </c>
      <c r="F76" s="83">
        <f t="shared" si="13"/>
        <v>0</v>
      </c>
      <c r="G76" s="83">
        <f t="shared" si="13"/>
        <v>30308.699999999997</v>
      </c>
      <c r="H76" s="83">
        <f t="shared" si="13"/>
        <v>0</v>
      </c>
      <c r="I76" s="83">
        <f t="shared" si="13"/>
        <v>30308.699999999997</v>
      </c>
      <c r="J76" s="83">
        <f t="shared" si="13"/>
        <v>40284.3</v>
      </c>
      <c r="K76" s="83">
        <f t="shared" si="13"/>
        <v>0</v>
      </c>
      <c r="L76" s="83">
        <f t="shared" si="13"/>
        <v>70593</v>
      </c>
      <c r="M76" s="83">
        <f t="shared" si="13"/>
        <v>84317.6</v>
      </c>
      <c r="N76" s="83">
        <f t="shared" si="13"/>
        <v>0</v>
      </c>
      <c r="O76" s="83">
        <f t="shared" si="13"/>
        <v>154910.6</v>
      </c>
      <c r="P76" s="56"/>
      <c r="Q76" s="38">
        <f>SUM(Q78:Q89)</f>
        <v>149910.6</v>
      </c>
    </row>
    <row r="77" spans="1:17" ht="12.75">
      <c r="A77" s="13" t="s">
        <v>38</v>
      </c>
      <c r="B77" s="1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55"/>
      <c r="Q77" s="53"/>
    </row>
    <row r="78" spans="1:17" ht="12.75">
      <c r="A78" s="11" t="s">
        <v>41</v>
      </c>
      <c r="B78" s="11"/>
      <c r="C78" s="84"/>
      <c r="D78" s="84"/>
      <c r="E78" s="84"/>
      <c r="F78" s="84">
        <f>C78+D78+E78</f>
        <v>0</v>
      </c>
      <c r="G78" s="84">
        <v>26.1</v>
      </c>
      <c r="H78" s="84"/>
      <c r="I78" s="84">
        <f>F78+G78+H78</f>
        <v>26.1</v>
      </c>
      <c r="J78" s="84">
        <f>16889.5</f>
        <v>16889.5</v>
      </c>
      <c r="K78" s="84"/>
      <c r="L78" s="84">
        <f>I78+J78+K78</f>
        <v>16915.6</v>
      </c>
      <c r="M78" s="84"/>
      <c r="N78" s="84"/>
      <c r="O78" s="84">
        <f>L78+M78+N78</f>
        <v>16915.6</v>
      </c>
      <c r="P78" s="55"/>
      <c r="Q78" s="53">
        <f t="shared" si="0"/>
        <v>16915.6</v>
      </c>
    </row>
    <row r="79" spans="1:17" ht="12.75">
      <c r="A79" s="15" t="s">
        <v>42</v>
      </c>
      <c r="B79" s="15"/>
      <c r="C79" s="84"/>
      <c r="D79" s="84"/>
      <c r="E79" s="84"/>
      <c r="F79" s="84">
        <f aca="true" t="shared" si="14" ref="F79:F89">C79+D79+E79</f>
        <v>0</v>
      </c>
      <c r="G79" s="84"/>
      <c r="H79" s="84"/>
      <c r="I79" s="84">
        <f aca="true" t="shared" si="15" ref="I79:I89">F79+G79+H79</f>
        <v>0</v>
      </c>
      <c r="J79" s="84">
        <v>48</v>
      </c>
      <c r="K79" s="84"/>
      <c r="L79" s="84">
        <f aca="true" t="shared" si="16" ref="L79:L90">I79+J79+K79</f>
        <v>48</v>
      </c>
      <c r="M79" s="84">
        <v>24</v>
      </c>
      <c r="N79" s="84"/>
      <c r="O79" s="84">
        <f aca="true" t="shared" si="17" ref="O79:O90">L79+M79+N79</f>
        <v>72</v>
      </c>
      <c r="P79" s="55"/>
      <c r="Q79" s="53">
        <f t="shared" si="0"/>
        <v>72</v>
      </c>
    </row>
    <row r="80" spans="1:17" ht="12.75" hidden="1">
      <c r="A80" s="15" t="s">
        <v>40</v>
      </c>
      <c r="B80" s="15"/>
      <c r="C80" s="84"/>
      <c r="D80" s="84"/>
      <c r="E80" s="84"/>
      <c r="F80" s="84">
        <f t="shared" si="14"/>
        <v>0</v>
      </c>
      <c r="G80" s="84"/>
      <c r="H80" s="84"/>
      <c r="I80" s="84">
        <f t="shared" si="15"/>
        <v>0</v>
      </c>
      <c r="J80" s="84"/>
      <c r="K80" s="84"/>
      <c r="L80" s="84">
        <f t="shared" si="16"/>
        <v>0</v>
      </c>
      <c r="M80" s="84"/>
      <c r="N80" s="84"/>
      <c r="O80" s="84">
        <f t="shared" si="17"/>
        <v>0</v>
      </c>
      <c r="P80" s="55"/>
      <c r="Q80" s="53">
        <f t="shared" si="0"/>
        <v>0</v>
      </c>
    </row>
    <row r="81" spans="1:17" ht="12.75">
      <c r="A81" s="15" t="s">
        <v>58</v>
      </c>
      <c r="B81" s="15"/>
      <c r="C81" s="84"/>
      <c r="D81" s="84"/>
      <c r="E81" s="84"/>
      <c r="F81" s="84">
        <f t="shared" si="14"/>
        <v>0</v>
      </c>
      <c r="G81" s="84"/>
      <c r="H81" s="84"/>
      <c r="I81" s="84">
        <f t="shared" si="15"/>
        <v>0</v>
      </c>
      <c r="J81" s="84"/>
      <c r="K81" s="84"/>
      <c r="L81" s="84">
        <f t="shared" si="16"/>
        <v>0</v>
      </c>
      <c r="M81" s="84">
        <v>30000</v>
      </c>
      <c r="N81" s="84"/>
      <c r="O81" s="84">
        <f t="shared" si="17"/>
        <v>30000</v>
      </c>
      <c r="P81" s="55"/>
      <c r="Q81" s="53">
        <f t="shared" si="0"/>
        <v>30000</v>
      </c>
    </row>
    <row r="82" spans="1:17" ht="12.75">
      <c r="A82" s="11" t="s">
        <v>43</v>
      </c>
      <c r="B82" s="11"/>
      <c r="C82" s="84"/>
      <c r="D82" s="84"/>
      <c r="E82" s="84"/>
      <c r="F82" s="84">
        <f t="shared" si="14"/>
        <v>0</v>
      </c>
      <c r="G82" s="84"/>
      <c r="H82" s="84"/>
      <c r="I82" s="84">
        <f t="shared" si="15"/>
        <v>0</v>
      </c>
      <c r="J82" s="84"/>
      <c r="K82" s="84"/>
      <c r="L82" s="84">
        <f t="shared" si="16"/>
        <v>0</v>
      </c>
      <c r="M82" s="84">
        <f>1975+25373.5</f>
        <v>27348.5</v>
      </c>
      <c r="N82" s="84"/>
      <c r="O82" s="84">
        <f t="shared" si="17"/>
        <v>27348.5</v>
      </c>
      <c r="P82" s="55"/>
      <c r="Q82" s="53">
        <f aca="true" t="shared" si="18" ref="Q82:Q152">O82+P82</f>
        <v>27348.5</v>
      </c>
    </row>
    <row r="83" spans="1:17" ht="12.75">
      <c r="A83" s="11" t="s">
        <v>233</v>
      </c>
      <c r="B83" s="11"/>
      <c r="C83" s="84"/>
      <c r="D83" s="84"/>
      <c r="E83" s="84"/>
      <c r="F83" s="84">
        <f t="shared" si="14"/>
        <v>0</v>
      </c>
      <c r="G83" s="84"/>
      <c r="H83" s="84"/>
      <c r="I83" s="84">
        <f t="shared" si="15"/>
        <v>0</v>
      </c>
      <c r="J83" s="84">
        <v>2105.9</v>
      </c>
      <c r="K83" s="84"/>
      <c r="L83" s="84">
        <f t="shared" si="16"/>
        <v>2105.9</v>
      </c>
      <c r="M83" s="84">
        <v>1956.1</v>
      </c>
      <c r="N83" s="84"/>
      <c r="O83" s="84">
        <f t="shared" si="17"/>
        <v>4062</v>
      </c>
      <c r="P83" s="55"/>
      <c r="Q83" s="53">
        <f t="shared" si="18"/>
        <v>4062</v>
      </c>
    </row>
    <row r="84" spans="1:17" ht="12.75">
      <c r="A84" s="11" t="s">
        <v>234</v>
      </c>
      <c r="B84" s="11"/>
      <c r="C84" s="84"/>
      <c r="D84" s="84"/>
      <c r="E84" s="84"/>
      <c r="F84" s="84">
        <f t="shared" si="14"/>
        <v>0</v>
      </c>
      <c r="G84" s="84"/>
      <c r="H84" s="84"/>
      <c r="I84" s="84">
        <f t="shared" si="15"/>
        <v>0</v>
      </c>
      <c r="J84" s="84">
        <v>123.9</v>
      </c>
      <c r="K84" s="84"/>
      <c r="L84" s="84">
        <f t="shared" si="16"/>
        <v>123.9</v>
      </c>
      <c r="M84" s="84"/>
      <c r="N84" s="84"/>
      <c r="O84" s="84">
        <f t="shared" si="17"/>
        <v>123.9</v>
      </c>
      <c r="P84" s="55"/>
      <c r="Q84" s="53">
        <f t="shared" si="18"/>
        <v>123.9</v>
      </c>
    </row>
    <row r="85" spans="1:17" ht="12.75" hidden="1">
      <c r="A85" s="11" t="s">
        <v>59</v>
      </c>
      <c r="B85" s="11"/>
      <c r="C85" s="84"/>
      <c r="D85" s="84"/>
      <c r="E85" s="84"/>
      <c r="F85" s="84">
        <f t="shared" si="14"/>
        <v>0</v>
      </c>
      <c r="G85" s="84"/>
      <c r="H85" s="84"/>
      <c r="I85" s="84">
        <f t="shared" si="15"/>
        <v>0</v>
      </c>
      <c r="J85" s="84"/>
      <c r="K85" s="84"/>
      <c r="L85" s="84">
        <f t="shared" si="16"/>
        <v>0</v>
      </c>
      <c r="M85" s="84"/>
      <c r="N85" s="84"/>
      <c r="O85" s="84">
        <f t="shared" si="17"/>
        <v>0</v>
      </c>
      <c r="P85" s="55"/>
      <c r="Q85" s="53">
        <f t="shared" si="18"/>
        <v>0</v>
      </c>
    </row>
    <row r="86" spans="1:17" ht="12.75">
      <c r="A86" s="11" t="s">
        <v>60</v>
      </c>
      <c r="B86" s="11"/>
      <c r="C86" s="84"/>
      <c r="D86" s="84"/>
      <c r="E86" s="84"/>
      <c r="F86" s="84">
        <f t="shared" si="14"/>
        <v>0</v>
      </c>
      <c r="G86" s="84">
        <f>8766.9+12341.2+9174.5</f>
        <v>30282.6</v>
      </c>
      <c r="H86" s="84"/>
      <c r="I86" s="84">
        <f t="shared" si="15"/>
        <v>30282.6</v>
      </c>
      <c r="J86" s="84">
        <f>2199.3+1777.1+7239.5+732.6+9168.5</f>
        <v>21117</v>
      </c>
      <c r="K86" s="84"/>
      <c r="L86" s="84">
        <f t="shared" si="16"/>
        <v>51399.6</v>
      </c>
      <c r="M86" s="84">
        <f>192.5+4361.8+7083+1823.8+6527.9</f>
        <v>19989</v>
      </c>
      <c r="N86" s="84"/>
      <c r="O86" s="84">
        <f t="shared" si="17"/>
        <v>71388.6</v>
      </c>
      <c r="P86" s="55"/>
      <c r="Q86" s="53">
        <f t="shared" si="18"/>
        <v>71388.6</v>
      </c>
    </row>
    <row r="87" spans="1:17" ht="12.75" hidden="1">
      <c r="A87" s="11" t="s">
        <v>61</v>
      </c>
      <c r="B87" s="11"/>
      <c r="C87" s="84"/>
      <c r="D87" s="84"/>
      <c r="E87" s="84"/>
      <c r="F87" s="84">
        <f t="shared" si="14"/>
        <v>0</v>
      </c>
      <c r="G87" s="84"/>
      <c r="H87" s="84"/>
      <c r="I87" s="84">
        <f t="shared" si="15"/>
        <v>0</v>
      </c>
      <c r="J87" s="84"/>
      <c r="K87" s="84"/>
      <c r="L87" s="84">
        <f t="shared" si="16"/>
        <v>0</v>
      </c>
      <c r="M87" s="84"/>
      <c r="N87" s="84"/>
      <c r="O87" s="84">
        <f t="shared" si="17"/>
        <v>0</v>
      </c>
      <c r="P87" s="55"/>
      <c r="Q87" s="53">
        <f t="shared" si="18"/>
        <v>0</v>
      </c>
    </row>
    <row r="88" spans="1:17" ht="12.75" hidden="1">
      <c r="A88" s="11" t="s">
        <v>47</v>
      </c>
      <c r="B88" s="11"/>
      <c r="C88" s="84"/>
      <c r="D88" s="84"/>
      <c r="E88" s="84"/>
      <c r="F88" s="84">
        <f t="shared" si="14"/>
        <v>0</v>
      </c>
      <c r="G88" s="84"/>
      <c r="H88" s="84"/>
      <c r="I88" s="84">
        <f t="shared" si="15"/>
        <v>0</v>
      </c>
      <c r="J88" s="84"/>
      <c r="K88" s="84"/>
      <c r="L88" s="84">
        <f t="shared" si="16"/>
        <v>0</v>
      </c>
      <c r="M88" s="84"/>
      <c r="N88" s="84"/>
      <c r="O88" s="84">
        <f t="shared" si="17"/>
        <v>0</v>
      </c>
      <c r="P88" s="70"/>
      <c r="Q88" s="53">
        <f t="shared" si="18"/>
        <v>0</v>
      </c>
    </row>
    <row r="89" spans="1:17" ht="12.75" hidden="1">
      <c r="A89" s="11" t="s">
        <v>62</v>
      </c>
      <c r="B89" s="11"/>
      <c r="C89" s="84"/>
      <c r="D89" s="84"/>
      <c r="E89" s="84"/>
      <c r="F89" s="84">
        <f t="shared" si="14"/>
        <v>0</v>
      </c>
      <c r="G89" s="84"/>
      <c r="H89" s="84"/>
      <c r="I89" s="84">
        <f t="shared" si="15"/>
        <v>0</v>
      </c>
      <c r="J89" s="84"/>
      <c r="K89" s="84"/>
      <c r="L89" s="84">
        <f t="shared" si="16"/>
        <v>0</v>
      </c>
      <c r="M89" s="84"/>
      <c r="N89" s="84"/>
      <c r="O89" s="84">
        <f t="shared" si="17"/>
        <v>0</v>
      </c>
      <c r="P89" s="55"/>
      <c r="Q89" s="53">
        <f t="shared" si="18"/>
        <v>0</v>
      </c>
    </row>
    <row r="90" spans="1:17" ht="12.75">
      <c r="A90" s="14" t="s">
        <v>247</v>
      </c>
      <c r="B90" s="14"/>
      <c r="C90" s="88"/>
      <c r="D90" s="88"/>
      <c r="E90" s="88"/>
      <c r="F90" s="88"/>
      <c r="G90" s="88"/>
      <c r="H90" s="88"/>
      <c r="I90" s="88"/>
      <c r="J90" s="88"/>
      <c r="K90" s="88"/>
      <c r="L90" s="88">
        <f t="shared" si="16"/>
        <v>0</v>
      </c>
      <c r="M90" s="88">
        <v>5000</v>
      </c>
      <c r="N90" s="88"/>
      <c r="O90" s="88">
        <f t="shared" si="17"/>
        <v>5000</v>
      </c>
      <c r="P90" s="55"/>
      <c r="Q90" s="53"/>
    </row>
    <row r="91" spans="1:17" ht="12.75">
      <c r="A91" s="12" t="s">
        <v>63</v>
      </c>
      <c r="B91" s="12"/>
      <c r="C91" s="85">
        <f>SUM(C93:C96)</f>
        <v>0</v>
      </c>
      <c r="D91" s="85"/>
      <c r="E91" s="85"/>
      <c r="F91" s="85">
        <f>SUM(F93:F96)</f>
        <v>0</v>
      </c>
      <c r="G91" s="85">
        <f>SUM(G93:G96)</f>
        <v>0</v>
      </c>
      <c r="H91" s="85">
        <f>SUM(H93:H96)</f>
        <v>0</v>
      </c>
      <c r="I91" s="85">
        <f>SUM(I93:I96)</f>
        <v>0</v>
      </c>
      <c r="J91" s="85"/>
      <c r="K91" s="85"/>
      <c r="L91" s="85">
        <f>SUM(L93:L96)</f>
        <v>0</v>
      </c>
      <c r="M91" s="85">
        <f>SUM(M93:M96)</f>
        <v>4076.6</v>
      </c>
      <c r="N91" s="85">
        <f>SUM(N93:N96)</f>
        <v>0</v>
      </c>
      <c r="O91" s="85">
        <f>SUM(O93:O96)</f>
        <v>4076.6</v>
      </c>
      <c r="P91" s="58"/>
      <c r="Q91" s="7">
        <f>SUM(Q93:Q96)</f>
        <v>0</v>
      </c>
    </row>
    <row r="92" spans="1:17" ht="12.75">
      <c r="A92" s="9" t="s">
        <v>38</v>
      </c>
      <c r="B92" s="9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55"/>
      <c r="Q92" s="53"/>
    </row>
    <row r="93" spans="1:17" ht="12.75" hidden="1">
      <c r="A93" s="11" t="s">
        <v>64</v>
      </c>
      <c r="B93" s="11"/>
      <c r="C93" s="84"/>
      <c r="D93" s="84"/>
      <c r="E93" s="84"/>
      <c r="F93" s="84">
        <f>C93+D93+E93</f>
        <v>0</v>
      </c>
      <c r="G93" s="84"/>
      <c r="H93" s="84"/>
      <c r="I93" s="84">
        <f>F93+G93+H93</f>
        <v>0</v>
      </c>
      <c r="J93" s="84"/>
      <c r="K93" s="84"/>
      <c r="L93" s="84">
        <f>I93+J93+K93</f>
        <v>0</v>
      </c>
      <c r="M93" s="84"/>
      <c r="N93" s="84"/>
      <c r="O93" s="84">
        <f>L93+M93+N93</f>
        <v>0</v>
      </c>
      <c r="P93" s="55"/>
      <c r="Q93" s="53">
        <f t="shared" si="18"/>
        <v>0</v>
      </c>
    </row>
    <row r="94" spans="1:17" ht="12.75">
      <c r="A94" s="11" t="s">
        <v>371</v>
      </c>
      <c r="B94" s="11">
        <v>13899</v>
      </c>
      <c r="C94" s="84"/>
      <c r="D94" s="84"/>
      <c r="E94" s="84"/>
      <c r="F94" s="84"/>
      <c r="G94" s="84"/>
      <c r="H94" s="84"/>
      <c r="I94" s="84"/>
      <c r="J94" s="84"/>
      <c r="K94" s="84"/>
      <c r="L94" s="84">
        <f>I94+J94+K94</f>
        <v>0</v>
      </c>
      <c r="M94" s="84">
        <v>4076.6</v>
      </c>
      <c r="N94" s="84"/>
      <c r="O94" s="84">
        <f>L94+M94+N94</f>
        <v>4076.6</v>
      </c>
      <c r="P94" s="55"/>
      <c r="Q94" s="53"/>
    </row>
    <row r="95" spans="1:17" ht="12.75" hidden="1">
      <c r="A95" s="11" t="s">
        <v>35</v>
      </c>
      <c r="B95" s="11"/>
      <c r="C95" s="84"/>
      <c r="D95" s="84"/>
      <c r="E95" s="84"/>
      <c r="F95" s="84">
        <f>C95+D95+E95</f>
        <v>0</v>
      </c>
      <c r="G95" s="84"/>
      <c r="H95" s="84"/>
      <c r="I95" s="84">
        <f>F95+G95+H95</f>
        <v>0</v>
      </c>
      <c r="J95" s="84"/>
      <c r="K95" s="84"/>
      <c r="L95" s="84">
        <f>I95+J95+K95</f>
        <v>0</v>
      </c>
      <c r="M95" s="84"/>
      <c r="N95" s="84"/>
      <c r="O95" s="84">
        <f>L95+M95+N95</f>
        <v>0</v>
      </c>
      <c r="P95" s="55"/>
      <c r="Q95" s="53">
        <f t="shared" si="18"/>
        <v>0</v>
      </c>
    </row>
    <row r="96" spans="1:17" ht="12.75" hidden="1">
      <c r="A96" s="11" t="s">
        <v>55</v>
      </c>
      <c r="B96" s="11"/>
      <c r="C96" s="84"/>
      <c r="D96" s="84"/>
      <c r="E96" s="84"/>
      <c r="F96" s="84">
        <f>C96+D96+E96</f>
        <v>0</v>
      </c>
      <c r="G96" s="84"/>
      <c r="H96" s="84"/>
      <c r="I96" s="84">
        <f>F96+G96+H96</f>
        <v>0</v>
      </c>
      <c r="J96" s="84"/>
      <c r="K96" s="84"/>
      <c r="L96" s="84">
        <f>I96+J96+K96</f>
        <v>0</v>
      </c>
      <c r="M96" s="84"/>
      <c r="N96" s="84"/>
      <c r="O96" s="84">
        <f>L96+M96+N96</f>
        <v>0</v>
      </c>
      <c r="P96" s="55"/>
      <c r="Q96" s="53">
        <f t="shared" si="18"/>
        <v>0</v>
      </c>
    </row>
    <row r="97" spans="1:17" ht="12.75">
      <c r="A97" s="12" t="s">
        <v>65</v>
      </c>
      <c r="B97" s="12"/>
      <c r="C97" s="85"/>
      <c r="D97" s="85"/>
      <c r="E97" s="85"/>
      <c r="F97" s="85">
        <f>C97+D97+E97</f>
        <v>0</v>
      </c>
      <c r="G97" s="85">
        <v>660</v>
      </c>
      <c r="H97" s="85"/>
      <c r="I97" s="85">
        <f>F97+G97+H97</f>
        <v>660</v>
      </c>
      <c r="J97" s="85">
        <f>1792.1+2122.9+533.1+487.8+393+678.1</f>
        <v>6007.000000000001</v>
      </c>
      <c r="K97" s="85">
        <f>3495.7-23.3</f>
        <v>3472.3999999999996</v>
      </c>
      <c r="L97" s="85">
        <f>I97+J97+K97</f>
        <v>10139.400000000001</v>
      </c>
      <c r="M97" s="85"/>
      <c r="N97" s="85"/>
      <c r="O97" s="85">
        <f>L97+M97+N97</f>
        <v>10139.400000000001</v>
      </c>
      <c r="P97" s="55"/>
      <c r="Q97" s="52">
        <f t="shared" si="18"/>
        <v>10139.400000000001</v>
      </c>
    </row>
    <row r="98" spans="1:17" ht="15.75" thickBot="1">
      <c r="A98" s="16" t="s">
        <v>66</v>
      </c>
      <c r="B98" s="16"/>
      <c r="C98" s="86">
        <f>C11+C14+C48+C97+C76+C41+C91</f>
        <v>3334394.5</v>
      </c>
      <c r="D98" s="86">
        <f>D11+D14+D48+D97+D76+D41</f>
        <v>0</v>
      </c>
      <c r="E98" s="86">
        <f>E11+E14+E48+E97+E76+E41</f>
        <v>0</v>
      </c>
      <c r="F98" s="86">
        <f>F11+F14+F48+F97+F76+F41</f>
        <v>3334394.5</v>
      </c>
      <c r="G98" s="86">
        <f>G11+G14+G48+G97+G76+G41</f>
        <v>4461077.500000001</v>
      </c>
      <c r="H98" s="86">
        <f>H11+H14+H48+H97+H76+H41</f>
        <v>-2490.1</v>
      </c>
      <c r="I98" s="86">
        <f aca="true" t="shared" si="19" ref="I98:O98">I11+I14+I48+I97+I76+I41+I91</f>
        <v>7792981.9</v>
      </c>
      <c r="J98" s="86">
        <f t="shared" si="19"/>
        <v>506778.4000000001</v>
      </c>
      <c r="K98" s="86">
        <f t="shared" si="19"/>
        <v>12627.2</v>
      </c>
      <c r="L98" s="86">
        <f t="shared" si="19"/>
        <v>8312387.500000001</v>
      </c>
      <c r="M98" s="86">
        <f t="shared" si="19"/>
        <v>310866.2</v>
      </c>
      <c r="N98" s="86">
        <f t="shared" si="19"/>
        <v>2250</v>
      </c>
      <c r="O98" s="86">
        <f t="shared" si="19"/>
        <v>8625503.7</v>
      </c>
      <c r="P98" s="59"/>
      <c r="Q98" s="48">
        <f>Q11+Q14+Q48+Q97+Q76+Q41+Q91</f>
        <v>8606201.8</v>
      </c>
    </row>
    <row r="99" spans="1:17" ht="12.75">
      <c r="A99" s="8" t="s">
        <v>67</v>
      </c>
      <c r="B99" s="8"/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55"/>
      <c r="Q99" s="53"/>
    </row>
    <row r="100" spans="1:17" ht="12.75">
      <c r="A100" s="8" t="s">
        <v>68</v>
      </c>
      <c r="B100" s="8"/>
      <c r="C100" s="83">
        <f aca="true" t="shared" si="20" ref="C100:O100">C101+C114</f>
        <v>38874</v>
      </c>
      <c r="D100" s="83">
        <f t="shared" si="20"/>
        <v>0</v>
      </c>
      <c r="E100" s="83">
        <f t="shared" si="20"/>
        <v>0</v>
      </c>
      <c r="F100" s="83">
        <f t="shared" si="20"/>
        <v>38874</v>
      </c>
      <c r="G100" s="83">
        <f t="shared" si="20"/>
        <v>1947.6</v>
      </c>
      <c r="H100" s="83">
        <f t="shared" si="20"/>
        <v>0</v>
      </c>
      <c r="I100" s="83">
        <f t="shared" si="20"/>
        <v>40821.6</v>
      </c>
      <c r="J100" s="83">
        <f t="shared" si="20"/>
        <v>1395.4</v>
      </c>
      <c r="K100" s="83">
        <f t="shared" si="20"/>
        <v>5000</v>
      </c>
      <c r="L100" s="83">
        <f t="shared" si="20"/>
        <v>47217</v>
      </c>
      <c r="M100" s="83">
        <f t="shared" si="20"/>
        <v>28400</v>
      </c>
      <c r="N100" s="83">
        <f t="shared" si="20"/>
        <v>0</v>
      </c>
      <c r="O100" s="83">
        <f t="shared" si="20"/>
        <v>75617</v>
      </c>
      <c r="P100" s="56"/>
      <c r="Q100" s="38">
        <f>Q101+Q114</f>
        <v>44641.6</v>
      </c>
    </row>
    <row r="101" spans="1:17" ht="12.75">
      <c r="A101" s="17" t="s">
        <v>69</v>
      </c>
      <c r="B101" s="17"/>
      <c r="C101" s="87">
        <f aca="true" t="shared" si="21" ref="C101:L101">SUM(C103:C113)</f>
        <v>38874</v>
      </c>
      <c r="D101" s="87">
        <f t="shared" si="21"/>
        <v>0</v>
      </c>
      <c r="E101" s="87">
        <f t="shared" si="21"/>
        <v>0</v>
      </c>
      <c r="F101" s="87">
        <f t="shared" si="21"/>
        <v>38874</v>
      </c>
      <c r="G101" s="87">
        <f t="shared" si="21"/>
        <v>1947.6</v>
      </c>
      <c r="H101" s="87">
        <f t="shared" si="21"/>
        <v>0</v>
      </c>
      <c r="I101" s="87">
        <f t="shared" si="21"/>
        <v>40821.6</v>
      </c>
      <c r="J101" s="87">
        <f t="shared" si="21"/>
        <v>1395.4</v>
      </c>
      <c r="K101" s="87">
        <f t="shared" si="21"/>
        <v>5000</v>
      </c>
      <c r="L101" s="87">
        <f t="shared" si="21"/>
        <v>47217</v>
      </c>
      <c r="M101" s="87">
        <f>SUM(M103:M113)</f>
        <v>28400</v>
      </c>
      <c r="N101" s="87">
        <f>SUM(N103:N113)</f>
        <v>0</v>
      </c>
      <c r="O101" s="87">
        <f>SUM(O103:O113)</f>
        <v>75617</v>
      </c>
      <c r="P101" s="60"/>
      <c r="Q101" s="39">
        <f>SUM(Q103:Q113)</f>
        <v>44641.6</v>
      </c>
    </row>
    <row r="102" spans="1:17" ht="10.5" customHeight="1">
      <c r="A102" s="13" t="s">
        <v>38</v>
      </c>
      <c r="B102" s="1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55"/>
      <c r="Q102" s="53"/>
    </row>
    <row r="103" spans="1:17" ht="12.75">
      <c r="A103" s="11" t="s">
        <v>186</v>
      </c>
      <c r="B103" s="11"/>
      <c r="C103" s="84">
        <v>17328</v>
      </c>
      <c r="D103" s="84"/>
      <c r="E103" s="84"/>
      <c r="F103" s="84">
        <f>C103+D103</f>
        <v>17328</v>
      </c>
      <c r="G103" s="84"/>
      <c r="H103" s="84"/>
      <c r="I103" s="84">
        <f aca="true" t="shared" si="22" ref="I103:I113">F103+G103+H103</f>
        <v>17328</v>
      </c>
      <c r="J103" s="84"/>
      <c r="K103" s="84"/>
      <c r="L103" s="84">
        <f aca="true" t="shared" si="23" ref="L103:L113">I103+J103+K103</f>
        <v>17328</v>
      </c>
      <c r="M103" s="84"/>
      <c r="N103" s="84"/>
      <c r="O103" s="84">
        <f aca="true" t="shared" si="24" ref="O103:O113">L103+M103+N103</f>
        <v>17328</v>
      </c>
      <c r="P103" s="55"/>
      <c r="Q103" s="53">
        <f t="shared" si="18"/>
        <v>17328</v>
      </c>
    </row>
    <row r="104" spans="1:17" ht="12.75">
      <c r="A104" s="11" t="s">
        <v>70</v>
      </c>
      <c r="B104" s="11"/>
      <c r="C104" s="84">
        <v>4446</v>
      </c>
      <c r="D104" s="84"/>
      <c r="E104" s="84"/>
      <c r="F104" s="84">
        <f>C104+D104</f>
        <v>4446</v>
      </c>
      <c r="G104" s="84"/>
      <c r="H104" s="84"/>
      <c r="I104" s="84">
        <f t="shared" si="22"/>
        <v>4446</v>
      </c>
      <c r="J104" s="84"/>
      <c r="K104" s="84"/>
      <c r="L104" s="84">
        <f t="shared" si="23"/>
        <v>4446</v>
      </c>
      <c r="M104" s="84"/>
      <c r="N104" s="84"/>
      <c r="O104" s="84">
        <f t="shared" si="24"/>
        <v>4446</v>
      </c>
      <c r="P104" s="55"/>
      <c r="Q104" s="53">
        <f t="shared" si="18"/>
        <v>4446</v>
      </c>
    </row>
    <row r="105" spans="1:17" ht="12.75">
      <c r="A105" s="11" t="s">
        <v>71</v>
      </c>
      <c r="B105" s="11"/>
      <c r="C105" s="84">
        <v>1300</v>
      </c>
      <c r="D105" s="84"/>
      <c r="E105" s="84"/>
      <c r="F105" s="84">
        <f>C105+D105+E105</f>
        <v>1300</v>
      </c>
      <c r="G105" s="84"/>
      <c r="H105" s="84"/>
      <c r="I105" s="84">
        <f t="shared" si="22"/>
        <v>1300</v>
      </c>
      <c r="J105" s="84"/>
      <c r="K105" s="84"/>
      <c r="L105" s="84">
        <f t="shared" si="23"/>
        <v>1300</v>
      </c>
      <c r="M105" s="84"/>
      <c r="N105" s="84"/>
      <c r="O105" s="84">
        <f t="shared" si="24"/>
        <v>1300</v>
      </c>
      <c r="P105" s="55"/>
      <c r="Q105" s="53">
        <f t="shared" si="18"/>
        <v>1300</v>
      </c>
    </row>
    <row r="106" spans="1:17" ht="12.75" hidden="1">
      <c r="A106" s="11" t="s">
        <v>240</v>
      </c>
      <c r="B106" s="11"/>
      <c r="C106" s="84"/>
      <c r="D106" s="84"/>
      <c r="E106" s="84"/>
      <c r="F106" s="84">
        <f>C106+D106+E106</f>
        <v>0</v>
      </c>
      <c r="G106" s="84"/>
      <c r="H106" s="84"/>
      <c r="I106" s="84">
        <f t="shared" si="22"/>
        <v>0</v>
      </c>
      <c r="J106" s="84"/>
      <c r="K106" s="84"/>
      <c r="L106" s="84">
        <f t="shared" si="23"/>
        <v>0</v>
      </c>
      <c r="M106" s="84"/>
      <c r="N106" s="84"/>
      <c r="O106" s="84">
        <f t="shared" si="24"/>
        <v>0</v>
      </c>
      <c r="P106" s="55"/>
      <c r="Q106" s="53">
        <f t="shared" si="18"/>
        <v>0</v>
      </c>
    </row>
    <row r="107" spans="1:17" ht="12.75">
      <c r="A107" s="11" t="s">
        <v>241</v>
      </c>
      <c r="B107" s="11"/>
      <c r="C107" s="84"/>
      <c r="D107" s="84"/>
      <c r="E107" s="84"/>
      <c r="F107" s="84">
        <f>C107+D107+E107</f>
        <v>0</v>
      </c>
      <c r="G107" s="84"/>
      <c r="H107" s="84"/>
      <c r="I107" s="84">
        <f t="shared" si="22"/>
        <v>0</v>
      </c>
      <c r="J107" s="84">
        <v>1000</v>
      </c>
      <c r="K107" s="84"/>
      <c r="L107" s="84">
        <f t="shared" si="23"/>
        <v>1000</v>
      </c>
      <c r="M107" s="84"/>
      <c r="N107" s="84"/>
      <c r="O107" s="84">
        <f t="shared" si="24"/>
        <v>1000</v>
      </c>
      <c r="P107" s="55"/>
      <c r="Q107" s="53">
        <f t="shared" si="18"/>
        <v>1000</v>
      </c>
    </row>
    <row r="108" spans="1:17" ht="12.75">
      <c r="A108" s="11" t="s">
        <v>340</v>
      </c>
      <c r="B108" s="11">
        <v>6001</v>
      </c>
      <c r="C108" s="84"/>
      <c r="D108" s="84"/>
      <c r="E108" s="84"/>
      <c r="F108" s="84"/>
      <c r="G108" s="84"/>
      <c r="H108" s="84"/>
      <c r="I108" s="84">
        <f t="shared" si="22"/>
        <v>0</v>
      </c>
      <c r="J108" s="84">
        <v>500</v>
      </c>
      <c r="K108" s="84"/>
      <c r="L108" s="84">
        <f t="shared" si="23"/>
        <v>500</v>
      </c>
      <c r="M108" s="84"/>
      <c r="N108" s="84"/>
      <c r="O108" s="84">
        <f t="shared" si="24"/>
        <v>500</v>
      </c>
      <c r="P108" s="55"/>
      <c r="Q108" s="53"/>
    </row>
    <row r="109" spans="1:17" ht="12.75">
      <c r="A109" s="11" t="s">
        <v>72</v>
      </c>
      <c r="B109" s="11"/>
      <c r="C109" s="84">
        <v>7700</v>
      </c>
      <c r="D109" s="84"/>
      <c r="E109" s="84"/>
      <c r="F109" s="84">
        <f>C109+D109+E109</f>
        <v>7700</v>
      </c>
      <c r="G109" s="84">
        <f>447.6+1500</f>
        <v>1947.6</v>
      </c>
      <c r="H109" s="84"/>
      <c r="I109" s="84">
        <f t="shared" si="22"/>
        <v>9647.6</v>
      </c>
      <c r="J109" s="84">
        <f>120-700</f>
        <v>-580</v>
      </c>
      <c r="K109" s="84"/>
      <c r="L109" s="84">
        <f t="shared" si="23"/>
        <v>9067.6</v>
      </c>
      <c r="M109" s="84">
        <v>200</v>
      </c>
      <c r="N109" s="84"/>
      <c r="O109" s="84">
        <f t="shared" si="24"/>
        <v>9267.6</v>
      </c>
      <c r="P109" s="55"/>
      <c r="Q109" s="53">
        <f t="shared" si="18"/>
        <v>9267.6</v>
      </c>
    </row>
    <row r="110" spans="1:17" ht="12.75">
      <c r="A110" s="11" t="s">
        <v>103</v>
      </c>
      <c r="B110" s="11"/>
      <c r="C110" s="84"/>
      <c r="D110" s="84"/>
      <c r="E110" s="84"/>
      <c r="F110" s="84"/>
      <c r="G110" s="84"/>
      <c r="H110" s="84"/>
      <c r="I110" s="84">
        <f t="shared" si="22"/>
        <v>0</v>
      </c>
      <c r="J110" s="84">
        <f>443.7+31.7</f>
        <v>475.4</v>
      </c>
      <c r="K110" s="84"/>
      <c r="L110" s="84">
        <f t="shared" si="23"/>
        <v>475.4</v>
      </c>
      <c r="M110" s="84"/>
      <c r="N110" s="84"/>
      <c r="O110" s="84">
        <f t="shared" si="24"/>
        <v>475.4</v>
      </c>
      <c r="P110" s="55"/>
      <c r="Q110" s="53"/>
    </row>
    <row r="111" spans="1:17" ht="12.75">
      <c r="A111" s="11" t="s">
        <v>365</v>
      </c>
      <c r="B111" s="11">
        <v>98011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>
        <f t="shared" si="23"/>
        <v>0</v>
      </c>
      <c r="M111" s="84">
        <v>30000</v>
      </c>
      <c r="N111" s="84"/>
      <c r="O111" s="84">
        <f t="shared" si="24"/>
        <v>30000</v>
      </c>
      <c r="P111" s="55"/>
      <c r="Q111" s="53"/>
    </row>
    <row r="112" spans="1:17" ht="12.75">
      <c r="A112" s="11" t="s">
        <v>73</v>
      </c>
      <c r="B112" s="11"/>
      <c r="C112" s="84">
        <v>500</v>
      </c>
      <c r="D112" s="84"/>
      <c r="E112" s="84"/>
      <c r="F112" s="84">
        <f>SUM(C112:E112)</f>
        <v>500</v>
      </c>
      <c r="G112" s="84"/>
      <c r="H112" s="84"/>
      <c r="I112" s="84">
        <f t="shared" si="22"/>
        <v>500</v>
      </c>
      <c r="J112" s="84"/>
      <c r="K112" s="84">
        <v>5000</v>
      </c>
      <c r="L112" s="84">
        <f t="shared" si="23"/>
        <v>5500</v>
      </c>
      <c r="M112" s="84">
        <v>-3000</v>
      </c>
      <c r="N112" s="84"/>
      <c r="O112" s="84">
        <f t="shared" si="24"/>
        <v>2500</v>
      </c>
      <c r="P112" s="55"/>
      <c r="Q112" s="53">
        <f t="shared" si="18"/>
        <v>2500</v>
      </c>
    </row>
    <row r="113" spans="1:17" ht="12.75">
      <c r="A113" s="14" t="s">
        <v>74</v>
      </c>
      <c r="B113" s="14"/>
      <c r="C113" s="88">
        <v>7600</v>
      </c>
      <c r="D113" s="88"/>
      <c r="E113" s="88"/>
      <c r="F113" s="88">
        <f>SUM(C113:E113)</f>
        <v>7600</v>
      </c>
      <c r="G113" s="88"/>
      <c r="H113" s="88"/>
      <c r="I113" s="88">
        <f t="shared" si="22"/>
        <v>7600</v>
      </c>
      <c r="J113" s="88"/>
      <c r="K113" s="88"/>
      <c r="L113" s="88">
        <f t="shared" si="23"/>
        <v>7600</v>
      </c>
      <c r="M113" s="88">
        <f>200+1000</f>
        <v>1200</v>
      </c>
      <c r="N113" s="88"/>
      <c r="O113" s="88">
        <f t="shared" si="24"/>
        <v>8800</v>
      </c>
      <c r="P113" s="55"/>
      <c r="Q113" s="53">
        <f t="shared" si="18"/>
        <v>8800</v>
      </c>
    </row>
    <row r="114" spans="1:17" ht="12.75" hidden="1">
      <c r="A114" s="18" t="s">
        <v>75</v>
      </c>
      <c r="B114" s="18"/>
      <c r="C114" s="89">
        <f>SUM(C116:C119)</f>
        <v>0</v>
      </c>
      <c r="D114" s="89">
        <f>SUM(D116:D119)</f>
        <v>0</v>
      </c>
      <c r="E114" s="89"/>
      <c r="F114" s="89">
        <f>SUM(F116:F119)</f>
        <v>0</v>
      </c>
      <c r="G114" s="89">
        <f>SUM(G116:G119)</f>
        <v>0</v>
      </c>
      <c r="H114" s="89">
        <f>SUM(H116:H119)</f>
        <v>0</v>
      </c>
      <c r="I114" s="89">
        <f>SUM(I116:I119)</f>
        <v>0</v>
      </c>
      <c r="J114" s="89">
        <f>SUM(J116:J119)</f>
        <v>0</v>
      </c>
      <c r="K114" s="89"/>
      <c r="L114" s="89">
        <f>SUM(L116:L119)</f>
        <v>0</v>
      </c>
      <c r="M114" s="89">
        <f>SUM(M116:M119)</f>
        <v>0</v>
      </c>
      <c r="N114" s="89">
        <f>SUM(N116:N119)</f>
        <v>0</v>
      </c>
      <c r="O114" s="89">
        <f>SUM(O116:O119)</f>
        <v>0</v>
      </c>
      <c r="P114" s="61"/>
      <c r="Q114" s="49">
        <f>SUM(Q116:Q119)</f>
        <v>0</v>
      </c>
    </row>
    <row r="115" spans="1:17" ht="11.25" customHeight="1" hidden="1">
      <c r="A115" s="9" t="s">
        <v>38</v>
      </c>
      <c r="B115" s="9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55"/>
      <c r="Q115" s="53"/>
    </row>
    <row r="116" spans="1:17" ht="12.75" hidden="1">
      <c r="A116" s="11" t="s">
        <v>242</v>
      </c>
      <c r="B116" s="11"/>
      <c r="C116" s="84"/>
      <c r="D116" s="84"/>
      <c r="E116" s="84"/>
      <c r="F116" s="84">
        <f>C116+D116</f>
        <v>0</v>
      </c>
      <c r="G116" s="84"/>
      <c r="H116" s="84"/>
      <c r="I116" s="84">
        <f>F116+G116+H116</f>
        <v>0</v>
      </c>
      <c r="J116" s="84"/>
      <c r="K116" s="84"/>
      <c r="L116" s="84">
        <f>I116+J116+K116</f>
        <v>0</v>
      </c>
      <c r="M116" s="84"/>
      <c r="N116" s="84"/>
      <c r="O116" s="84">
        <f>L116+M116+N116</f>
        <v>0</v>
      </c>
      <c r="P116" s="55"/>
      <c r="Q116" s="53">
        <f t="shared" si="18"/>
        <v>0</v>
      </c>
    </row>
    <row r="117" spans="1:17" ht="12.75" hidden="1">
      <c r="A117" s="11" t="s">
        <v>360</v>
      </c>
      <c r="B117" s="11"/>
      <c r="C117" s="84"/>
      <c r="D117" s="84"/>
      <c r="E117" s="84"/>
      <c r="F117" s="84"/>
      <c r="G117" s="84"/>
      <c r="H117" s="84"/>
      <c r="I117" s="84">
        <f>F117+G117+H117</f>
        <v>0</v>
      </c>
      <c r="J117" s="84"/>
      <c r="K117" s="84"/>
      <c r="L117" s="84">
        <f>I117+J117+K117</f>
        <v>0</v>
      </c>
      <c r="M117" s="84"/>
      <c r="N117" s="84"/>
      <c r="O117" s="84">
        <f>L117+M117+N117</f>
        <v>0</v>
      </c>
      <c r="P117" s="55"/>
      <c r="Q117" s="53"/>
    </row>
    <row r="118" spans="1:17" ht="12.75" hidden="1">
      <c r="A118" s="14" t="s">
        <v>74</v>
      </c>
      <c r="B118" s="14"/>
      <c r="C118" s="88"/>
      <c r="D118" s="88"/>
      <c r="E118" s="88"/>
      <c r="F118" s="88">
        <f>C118+D118</f>
        <v>0</v>
      </c>
      <c r="G118" s="88"/>
      <c r="H118" s="88"/>
      <c r="I118" s="88">
        <f>F118+G118+H118</f>
        <v>0</v>
      </c>
      <c r="J118" s="88"/>
      <c r="K118" s="88"/>
      <c r="L118" s="88">
        <f>I118+J118+K118</f>
        <v>0</v>
      </c>
      <c r="M118" s="88"/>
      <c r="N118" s="88"/>
      <c r="O118" s="88">
        <f>L118+M118+N118</f>
        <v>0</v>
      </c>
      <c r="P118" s="68"/>
      <c r="Q118" s="69">
        <f t="shared" si="18"/>
        <v>0</v>
      </c>
    </row>
    <row r="119" spans="1:17" ht="12.75" hidden="1">
      <c r="A119" s="14" t="s">
        <v>76</v>
      </c>
      <c r="B119" s="14"/>
      <c r="C119" s="88"/>
      <c r="D119" s="88"/>
      <c r="E119" s="88"/>
      <c r="F119" s="88">
        <f>SUM(C119:E119)</f>
        <v>0</v>
      </c>
      <c r="G119" s="88"/>
      <c r="H119" s="88"/>
      <c r="I119" s="88">
        <f>F119+G119+H119</f>
        <v>0</v>
      </c>
      <c r="J119" s="88"/>
      <c r="K119" s="88"/>
      <c r="L119" s="88">
        <f>I119+J119+K119</f>
        <v>0</v>
      </c>
      <c r="M119" s="88"/>
      <c r="N119" s="88"/>
      <c r="O119" s="88">
        <f>L119+M119+N119</f>
        <v>0</v>
      </c>
      <c r="P119" s="55"/>
      <c r="Q119" s="53">
        <f t="shared" si="18"/>
        <v>0</v>
      </c>
    </row>
    <row r="120" spans="1:17" ht="12.75">
      <c r="A120" s="8" t="s">
        <v>77</v>
      </c>
      <c r="B120" s="8"/>
      <c r="C120" s="83">
        <f aca="true" t="shared" si="25" ref="C120:O120">C121+C140</f>
        <v>288001.2</v>
      </c>
      <c r="D120" s="83">
        <f t="shared" si="25"/>
        <v>0</v>
      </c>
      <c r="E120" s="83">
        <f t="shared" si="25"/>
        <v>0</v>
      </c>
      <c r="F120" s="83">
        <f t="shared" si="25"/>
        <v>288001.2</v>
      </c>
      <c r="G120" s="83">
        <f t="shared" si="25"/>
        <v>9723.400000000001</v>
      </c>
      <c r="H120" s="83">
        <f t="shared" si="25"/>
        <v>0</v>
      </c>
      <c r="I120" s="83">
        <f t="shared" si="25"/>
        <v>297724.5999999999</v>
      </c>
      <c r="J120" s="83">
        <f t="shared" si="25"/>
        <v>1801.4</v>
      </c>
      <c r="K120" s="83">
        <f t="shared" si="25"/>
        <v>0</v>
      </c>
      <c r="L120" s="83">
        <f t="shared" si="25"/>
        <v>299526</v>
      </c>
      <c r="M120" s="83">
        <f t="shared" si="25"/>
        <v>34470.1</v>
      </c>
      <c r="N120" s="83">
        <f t="shared" si="25"/>
        <v>0</v>
      </c>
      <c r="O120" s="83">
        <f t="shared" si="25"/>
        <v>333996.1</v>
      </c>
      <c r="P120" s="56"/>
      <c r="Q120" s="38">
        <f>Q121+Q140</f>
        <v>333135</v>
      </c>
    </row>
    <row r="121" spans="1:17" ht="12.75">
      <c r="A121" s="17" t="s">
        <v>69</v>
      </c>
      <c r="B121" s="17"/>
      <c r="C121" s="87">
        <f aca="true" t="shared" si="26" ref="C121:O121">SUM(C123:C139)</f>
        <v>288001.2</v>
      </c>
      <c r="D121" s="87">
        <f t="shared" si="26"/>
        <v>0</v>
      </c>
      <c r="E121" s="87">
        <f t="shared" si="26"/>
        <v>0</v>
      </c>
      <c r="F121" s="87">
        <f t="shared" si="26"/>
        <v>288001.2</v>
      </c>
      <c r="G121" s="87">
        <f t="shared" si="26"/>
        <v>8603.400000000001</v>
      </c>
      <c r="H121" s="87">
        <f t="shared" si="26"/>
        <v>0</v>
      </c>
      <c r="I121" s="87">
        <f t="shared" si="26"/>
        <v>296604.5999999999</v>
      </c>
      <c r="J121" s="87">
        <f t="shared" si="26"/>
        <v>1291.5</v>
      </c>
      <c r="K121" s="87">
        <f t="shared" si="26"/>
        <v>0</v>
      </c>
      <c r="L121" s="87">
        <f t="shared" si="26"/>
        <v>297896.1</v>
      </c>
      <c r="M121" s="87">
        <f t="shared" si="26"/>
        <v>2338.9</v>
      </c>
      <c r="N121" s="87">
        <f t="shared" si="26"/>
        <v>0</v>
      </c>
      <c r="O121" s="87">
        <f t="shared" si="26"/>
        <v>300235</v>
      </c>
      <c r="P121" s="60"/>
      <c r="Q121" s="39">
        <f>SUM(Q123:Q139)</f>
        <v>299373.9</v>
      </c>
    </row>
    <row r="122" spans="1:17" ht="12.75">
      <c r="A122" s="13" t="s">
        <v>38</v>
      </c>
      <c r="B122" s="1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55"/>
      <c r="Q122" s="53"/>
    </row>
    <row r="123" spans="1:17" ht="12.75">
      <c r="A123" s="20" t="s">
        <v>187</v>
      </c>
      <c r="B123" s="20"/>
      <c r="C123" s="84">
        <v>133151.3</v>
      </c>
      <c r="D123" s="84"/>
      <c r="E123" s="84"/>
      <c r="F123" s="84">
        <f>C123+D123+E123</f>
        <v>133151.3</v>
      </c>
      <c r="G123" s="84">
        <v>2523.2</v>
      </c>
      <c r="H123" s="84"/>
      <c r="I123" s="84">
        <f>F123+G123+H123</f>
        <v>135674.5</v>
      </c>
      <c r="J123" s="84">
        <v>150</v>
      </c>
      <c r="K123" s="84"/>
      <c r="L123" s="84">
        <f>I123+J123+K123</f>
        <v>135824.5</v>
      </c>
      <c r="M123" s="84"/>
      <c r="N123" s="84"/>
      <c r="O123" s="84">
        <f>L123+M123+N123</f>
        <v>135824.5</v>
      </c>
      <c r="P123" s="55"/>
      <c r="Q123" s="53">
        <f t="shared" si="18"/>
        <v>135824.5</v>
      </c>
    </row>
    <row r="124" spans="1:17" ht="12.75">
      <c r="A124" s="11" t="s">
        <v>70</v>
      </c>
      <c r="B124" s="11"/>
      <c r="C124" s="84">
        <v>44406.7</v>
      </c>
      <c r="D124" s="84"/>
      <c r="E124" s="84"/>
      <c r="F124" s="84">
        <f aca="true" t="shared" si="27" ref="F124:F139">C124+D124+E124</f>
        <v>44406.7</v>
      </c>
      <c r="G124" s="84">
        <v>876.8</v>
      </c>
      <c r="H124" s="84"/>
      <c r="I124" s="84">
        <f aca="true" t="shared" si="28" ref="I124:I139">F124+G124+H124</f>
        <v>45283.5</v>
      </c>
      <c r="J124" s="84">
        <v>52</v>
      </c>
      <c r="K124" s="84"/>
      <c r="L124" s="84">
        <f aca="true" t="shared" si="29" ref="L124:L139">I124+J124+K124</f>
        <v>45335.5</v>
      </c>
      <c r="M124" s="84"/>
      <c r="N124" s="84"/>
      <c r="O124" s="84">
        <f aca="true" t="shared" si="30" ref="O124:O139">L124+M124+N124</f>
        <v>45335.5</v>
      </c>
      <c r="P124" s="55"/>
      <c r="Q124" s="53">
        <f t="shared" si="18"/>
        <v>45335.5</v>
      </c>
    </row>
    <row r="125" spans="1:17" ht="12.75">
      <c r="A125" s="11" t="s">
        <v>78</v>
      </c>
      <c r="B125" s="11"/>
      <c r="C125" s="84">
        <v>200</v>
      </c>
      <c r="D125" s="84"/>
      <c r="E125" s="84"/>
      <c r="F125" s="84">
        <f t="shared" si="27"/>
        <v>200</v>
      </c>
      <c r="G125" s="84"/>
      <c r="H125" s="84"/>
      <c r="I125" s="84">
        <f t="shared" si="28"/>
        <v>200</v>
      </c>
      <c r="J125" s="84"/>
      <c r="K125" s="84"/>
      <c r="L125" s="84">
        <f t="shared" si="29"/>
        <v>200</v>
      </c>
      <c r="M125" s="84"/>
      <c r="N125" s="84"/>
      <c r="O125" s="84">
        <f t="shared" si="30"/>
        <v>200</v>
      </c>
      <c r="P125" s="55"/>
      <c r="Q125" s="53">
        <f t="shared" si="18"/>
        <v>200</v>
      </c>
    </row>
    <row r="126" spans="1:17" ht="12.75">
      <c r="A126" s="11" t="s">
        <v>72</v>
      </c>
      <c r="B126" s="11"/>
      <c r="C126" s="84">
        <v>39437.5</v>
      </c>
      <c r="D126" s="84"/>
      <c r="E126" s="84"/>
      <c r="F126" s="84">
        <f t="shared" si="27"/>
        <v>39437.5</v>
      </c>
      <c r="G126" s="84">
        <f>600+2000</f>
        <v>2600</v>
      </c>
      <c r="H126" s="84"/>
      <c r="I126" s="84">
        <f t="shared" si="28"/>
        <v>42037.5</v>
      </c>
      <c r="J126" s="84">
        <f>-203-56.3+498</f>
        <v>238.7</v>
      </c>
      <c r="K126" s="84"/>
      <c r="L126" s="84">
        <f t="shared" si="29"/>
        <v>42276.2</v>
      </c>
      <c r="M126" s="84"/>
      <c r="N126" s="84"/>
      <c r="O126" s="84">
        <f t="shared" si="30"/>
        <v>42276.2</v>
      </c>
      <c r="P126" s="55"/>
      <c r="Q126" s="53">
        <f t="shared" si="18"/>
        <v>42276.2</v>
      </c>
    </row>
    <row r="127" spans="1:17" ht="12.75">
      <c r="A127" s="11" t="s">
        <v>79</v>
      </c>
      <c r="B127" s="96" t="s">
        <v>333</v>
      </c>
      <c r="C127" s="84">
        <v>152</v>
      </c>
      <c r="D127" s="84"/>
      <c r="E127" s="84"/>
      <c r="F127" s="84">
        <f t="shared" si="27"/>
        <v>152</v>
      </c>
      <c r="G127" s="84"/>
      <c r="H127" s="84"/>
      <c r="I127" s="84">
        <f t="shared" si="28"/>
        <v>152</v>
      </c>
      <c r="J127" s="84"/>
      <c r="K127" s="84"/>
      <c r="L127" s="84">
        <f t="shared" si="29"/>
        <v>152</v>
      </c>
      <c r="M127" s="84"/>
      <c r="N127" s="84"/>
      <c r="O127" s="84">
        <f t="shared" si="30"/>
        <v>152</v>
      </c>
      <c r="P127" s="55"/>
      <c r="Q127" s="53">
        <f t="shared" si="18"/>
        <v>152</v>
      </c>
    </row>
    <row r="128" spans="1:17" ht="12.75">
      <c r="A128" s="11" t="s">
        <v>80</v>
      </c>
      <c r="B128" s="96" t="s">
        <v>373</v>
      </c>
      <c r="C128" s="84">
        <v>70503.7</v>
      </c>
      <c r="D128" s="84"/>
      <c r="E128" s="84"/>
      <c r="F128" s="84">
        <f t="shared" si="27"/>
        <v>70503.7</v>
      </c>
      <c r="G128" s="84"/>
      <c r="H128" s="84"/>
      <c r="I128" s="84">
        <f t="shared" si="28"/>
        <v>70503.7</v>
      </c>
      <c r="J128" s="84"/>
      <c r="K128" s="84"/>
      <c r="L128" s="84">
        <f t="shared" si="29"/>
        <v>70503.7</v>
      </c>
      <c r="M128" s="84"/>
      <c r="N128" s="84"/>
      <c r="O128" s="84">
        <f t="shared" si="30"/>
        <v>70503.7</v>
      </c>
      <c r="P128" s="55"/>
      <c r="Q128" s="53">
        <f t="shared" si="18"/>
        <v>70503.7</v>
      </c>
    </row>
    <row r="129" spans="1:17" ht="12.75">
      <c r="A129" s="11" t="s">
        <v>103</v>
      </c>
      <c r="B129" s="96"/>
      <c r="C129" s="84">
        <v>150</v>
      </c>
      <c r="D129" s="84"/>
      <c r="E129" s="84"/>
      <c r="F129" s="84">
        <f t="shared" si="27"/>
        <v>150</v>
      </c>
      <c r="G129" s="84">
        <v>1258.1</v>
      </c>
      <c r="H129" s="84"/>
      <c r="I129" s="84">
        <f t="shared" si="28"/>
        <v>1408.1</v>
      </c>
      <c r="J129" s="84">
        <v>80</v>
      </c>
      <c r="K129" s="84"/>
      <c r="L129" s="84">
        <f t="shared" si="29"/>
        <v>1488.1</v>
      </c>
      <c r="M129" s="84"/>
      <c r="N129" s="84"/>
      <c r="O129" s="84">
        <f t="shared" si="30"/>
        <v>1488.1</v>
      </c>
      <c r="P129" s="55"/>
      <c r="Q129" s="53">
        <f t="shared" si="18"/>
        <v>1488.1</v>
      </c>
    </row>
    <row r="130" spans="1:17" ht="12.75">
      <c r="A130" s="11" t="s">
        <v>305</v>
      </c>
      <c r="B130" s="97">
        <v>2600</v>
      </c>
      <c r="C130" s="84"/>
      <c r="D130" s="84"/>
      <c r="E130" s="84"/>
      <c r="F130" s="84">
        <f t="shared" si="27"/>
        <v>0</v>
      </c>
      <c r="G130" s="84">
        <v>21.1</v>
      </c>
      <c r="H130" s="84"/>
      <c r="I130" s="84">
        <f t="shared" si="28"/>
        <v>21.1</v>
      </c>
      <c r="J130" s="84"/>
      <c r="K130" s="84"/>
      <c r="L130" s="84">
        <f t="shared" si="29"/>
        <v>21.1</v>
      </c>
      <c r="M130" s="84"/>
      <c r="N130" s="84"/>
      <c r="O130" s="84">
        <f t="shared" si="30"/>
        <v>21.1</v>
      </c>
      <c r="P130" s="55"/>
      <c r="Q130" s="53">
        <f t="shared" si="18"/>
        <v>21.1</v>
      </c>
    </row>
    <row r="131" spans="1:17" ht="12.75">
      <c r="A131" s="11" t="s">
        <v>203</v>
      </c>
      <c r="B131" s="97"/>
      <c r="C131" s="84"/>
      <c r="D131" s="84"/>
      <c r="E131" s="84"/>
      <c r="F131" s="84">
        <f t="shared" si="27"/>
        <v>0</v>
      </c>
      <c r="G131" s="84"/>
      <c r="H131" s="84"/>
      <c r="I131" s="84">
        <f t="shared" si="28"/>
        <v>0</v>
      </c>
      <c r="J131" s="84">
        <v>52.7</v>
      </c>
      <c r="K131" s="84"/>
      <c r="L131" s="84">
        <f t="shared" si="29"/>
        <v>52.7</v>
      </c>
      <c r="M131" s="84"/>
      <c r="N131" s="84"/>
      <c r="O131" s="84">
        <f t="shared" si="30"/>
        <v>52.7</v>
      </c>
      <c r="P131" s="55"/>
      <c r="Q131" s="53">
        <f t="shared" si="18"/>
        <v>52.7</v>
      </c>
    </row>
    <row r="132" spans="1:17" ht="12.75">
      <c r="A132" s="11" t="s">
        <v>306</v>
      </c>
      <c r="B132" s="97">
        <v>1800</v>
      </c>
      <c r="C132" s="84"/>
      <c r="D132" s="84"/>
      <c r="E132" s="84"/>
      <c r="F132" s="84">
        <f t="shared" si="27"/>
        <v>0</v>
      </c>
      <c r="G132" s="84">
        <v>463.1</v>
      </c>
      <c r="H132" s="84"/>
      <c r="I132" s="84">
        <f t="shared" si="28"/>
        <v>463.1</v>
      </c>
      <c r="J132" s="84">
        <v>453.1</v>
      </c>
      <c r="K132" s="84"/>
      <c r="L132" s="84">
        <f t="shared" si="29"/>
        <v>916.2</v>
      </c>
      <c r="M132" s="84"/>
      <c r="N132" s="84"/>
      <c r="O132" s="84">
        <f t="shared" si="30"/>
        <v>916.2</v>
      </c>
      <c r="P132" s="55"/>
      <c r="Q132" s="53">
        <f t="shared" si="18"/>
        <v>916.2</v>
      </c>
    </row>
    <row r="133" spans="1:17" ht="12.75">
      <c r="A133" s="20" t="s">
        <v>236</v>
      </c>
      <c r="B133" s="98"/>
      <c r="C133" s="84"/>
      <c r="D133" s="84"/>
      <c r="E133" s="84"/>
      <c r="F133" s="84">
        <f t="shared" si="27"/>
        <v>0</v>
      </c>
      <c r="G133" s="84"/>
      <c r="H133" s="84"/>
      <c r="I133" s="84">
        <f t="shared" si="28"/>
        <v>0</v>
      </c>
      <c r="J133" s="84"/>
      <c r="K133" s="84"/>
      <c r="L133" s="84">
        <f t="shared" si="29"/>
        <v>0</v>
      </c>
      <c r="M133" s="84">
        <v>2323.9</v>
      </c>
      <c r="N133" s="84"/>
      <c r="O133" s="84">
        <f t="shared" si="30"/>
        <v>2323.9</v>
      </c>
      <c r="P133" s="55"/>
      <c r="Q133" s="53">
        <f t="shared" si="18"/>
        <v>2323.9</v>
      </c>
    </row>
    <row r="134" spans="1:17" ht="12.75">
      <c r="A134" s="20" t="s">
        <v>307</v>
      </c>
      <c r="B134" s="98">
        <v>3200</v>
      </c>
      <c r="C134" s="84"/>
      <c r="D134" s="84"/>
      <c r="E134" s="84"/>
      <c r="F134" s="84">
        <f t="shared" si="27"/>
        <v>0</v>
      </c>
      <c r="G134" s="84">
        <v>761.1</v>
      </c>
      <c r="H134" s="84"/>
      <c r="I134" s="84">
        <f t="shared" si="28"/>
        <v>761.1</v>
      </c>
      <c r="J134" s="84"/>
      <c r="K134" s="84"/>
      <c r="L134" s="84">
        <f t="shared" si="29"/>
        <v>761.1</v>
      </c>
      <c r="M134" s="84"/>
      <c r="N134" s="84"/>
      <c r="O134" s="84">
        <f t="shared" si="30"/>
        <v>761.1</v>
      </c>
      <c r="P134" s="55"/>
      <c r="Q134" s="53"/>
    </row>
    <row r="135" spans="1:17" ht="12.75" hidden="1">
      <c r="A135" s="11" t="s">
        <v>81</v>
      </c>
      <c r="B135" s="11"/>
      <c r="C135" s="84"/>
      <c r="D135" s="84"/>
      <c r="E135" s="84"/>
      <c r="F135" s="84">
        <f t="shared" si="27"/>
        <v>0</v>
      </c>
      <c r="G135" s="84"/>
      <c r="H135" s="84"/>
      <c r="I135" s="84">
        <f t="shared" si="28"/>
        <v>0</v>
      </c>
      <c r="J135" s="84"/>
      <c r="K135" s="84"/>
      <c r="L135" s="84">
        <f t="shared" si="29"/>
        <v>0</v>
      </c>
      <c r="M135" s="84"/>
      <c r="N135" s="84"/>
      <c r="O135" s="84">
        <f t="shared" si="30"/>
        <v>0</v>
      </c>
      <c r="P135" s="55"/>
      <c r="Q135" s="53">
        <f t="shared" si="18"/>
        <v>0</v>
      </c>
    </row>
    <row r="136" spans="1:17" ht="12.75">
      <c r="A136" s="11" t="s">
        <v>82</v>
      </c>
      <c r="B136" s="96">
        <v>98074</v>
      </c>
      <c r="C136" s="84"/>
      <c r="D136" s="84"/>
      <c r="E136" s="84"/>
      <c r="F136" s="84">
        <f t="shared" si="27"/>
        <v>0</v>
      </c>
      <c r="G136" s="84"/>
      <c r="H136" s="84"/>
      <c r="I136" s="84">
        <f t="shared" si="28"/>
        <v>0</v>
      </c>
      <c r="J136" s="84">
        <v>15</v>
      </c>
      <c r="K136" s="84"/>
      <c r="L136" s="84">
        <f t="shared" si="29"/>
        <v>15</v>
      </c>
      <c r="M136" s="84">
        <v>15</v>
      </c>
      <c r="N136" s="84"/>
      <c r="O136" s="84">
        <f t="shared" si="30"/>
        <v>30</v>
      </c>
      <c r="P136" s="55"/>
      <c r="Q136" s="53">
        <f t="shared" si="18"/>
        <v>30</v>
      </c>
    </row>
    <row r="137" spans="1:17" ht="12.75" hidden="1">
      <c r="A137" s="11" t="s">
        <v>83</v>
      </c>
      <c r="B137" s="96"/>
      <c r="C137" s="84"/>
      <c r="D137" s="84"/>
      <c r="E137" s="84"/>
      <c r="F137" s="84">
        <f t="shared" si="27"/>
        <v>0</v>
      </c>
      <c r="G137" s="84"/>
      <c r="H137" s="84"/>
      <c r="I137" s="84">
        <f t="shared" si="28"/>
        <v>0</v>
      </c>
      <c r="J137" s="84"/>
      <c r="K137" s="84"/>
      <c r="L137" s="84">
        <f t="shared" si="29"/>
        <v>0</v>
      </c>
      <c r="M137" s="84"/>
      <c r="N137" s="84"/>
      <c r="O137" s="84">
        <f t="shared" si="30"/>
        <v>0</v>
      </c>
      <c r="P137" s="55"/>
      <c r="Q137" s="53">
        <f t="shared" si="18"/>
        <v>0</v>
      </c>
    </row>
    <row r="138" spans="1:17" ht="12.75">
      <c r="A138" s="11" t="s">
        <v>302</v>
      </c>
      <c r="B138" s="96">
        <v>98008</v>
      </c>
      <c r="C138" s="84"/>
      <c r="D138" s="84"/>
      <c r="E138" s="84"/>
      <c r="F138" s="84">
        <f t="shared" si="27"/>
        <v>0</v>
      </c>
      <c r="G138" s="84">
        <v>100</v>
      </c>
      <c r="H138" s="84"/>
      <c r="I138" s="84">
        <f t="shared" si="28"/>
        <v>100</v>
      </c>
      <c r="J138" s="84"/>
      <c r="K138" s="84"/>
      <c r="L138" s="84">
        <f t="shared" si="29"/>
        <v>100</v>
      </c>
      <c r="M138" s="84"/>
      <c r="N138" s="84"/>
      <c r="O138" s="84">
        <f t="shared" si="30"/>
        <v>100</v>
      </c>
      <c r="P138" s="55"/>
      <c r="Q138" s="53"/>
    </row>
    <row r="139" spans="1:17" ht="12.75">
      <c r="A139" s="11" t="s">
        <v>84</v>
      </c>
      <c r="B139" s="97" t="s">
        <v>348</v>
      </c>
      <c r="C139" s="84"/>
      <c r="D139" s="84"/>
      <c r="E139" s="84"/>
      <c r="F139" s="84">
        <f t="shared" si="27"/>
        <v>0</v>
      </c>
      <c r="G139" s="84"/>
      <c r="H139" s="84"/>
      <c r="I139" s="84">
        <f t="shared" si="28"/>
        <v>0</v>
      </c>
      <c r="J139" s="84">
        <v>250</v>
      </c>
      <c r="K139" s="84"/>
      <c r="L139" s="84">
        <f t="shared" si="29"/>
        <v>250</v>
      </c>
      <c r="M139" s="84"/>
      <c r="N139" s="84"/>
      <c r="O139" s="84">
        <f t="shared" si="30"/>
        <v>250</v>
      </c>
      <c r="P139" s="55"/>
      <c r="Q139" s="53">
        <f t="shared" si="18"/>
        <v>250</v>
      </c>
    </row>
    <row r="140" spans="1:17" ht="12.75">
      <c r="A140" s="17" t="s">
        <v>75</v>
      </c>
      <c r="B140" s="17"/>
      <c r="C140" s="87">
        <f aca="true" t="shared" si="31" ref="C140:O140">C145+C142+C143+C144</f>
        <v>0</v>
      </c>
      <c r="D140" s="87">
        <f t="shared" si="31"/>
        <v>0</v>
      </c>
      <c r="E140" s="87">
        <f t="shared" si="31"/>
        <v>0</v>
      </c>
      <c r="F140" s="87">
        <f t="shared" si="31"/>
        <v>0</v>
      </c>
      <c r="G140" s="87">
        <f t="shared" si="31"/>
        <v>1120</v>
      </c>
      <c r="H140" s="87">
        <f t="shared" si="31"/>
        <v>0</v>
      </c>
      <c r="I140" s="87">
        <f t="shared" si="31"/>
        <v>1120</v>
      </c>
      <c r="J140" s="87">
        <f t="shared" si="31"/>
        <v>509.90000000000003</v>
      </c>
      <c r="K140" s="87">
        <f t="shared" si="31"/>
        <v>0</v>
      </c>
      <c r="L140" s="87">
        <f t="shared" si="31"/>
        <v>1629.9</v>
      </c>
      <c r="M140" s="87">
        <f t="shared" si="31"/>
        <v>32131.2</v>
      </c>
      <c r="N140" s="87">
        <f t="shared" si="31"/>
        <v>0</v>
      </c>
      <c r="O140" s="87">
        <f t="shared" si="31"/>
        <v>33761.1</v>
      </c>
      <c r="P140" s="60"/>
      <c r="Q140" s="39">
        <f>Q145+Q142</f>
        <v>33761.1</v>
      </c>
    </row>
    <row r="141" spans="1:17" ht="12.75">
      <c r="A141" s="13" t="s">
        <v>38</v>
      </c>
      <c r="B141" s="13"/>
      <c r="C141" s="84"/>
      <c r="D141" s="84"/>
      <c r="E141" s="84"/>
      <c r="F141" s="83"/>
      <c r="G141" s="84"/>
      <c r="H141" s="84"/>
      <c r="I141" s="83"/>
      <c r="J141" s="84"/>
      <c r="K141" s="84"/>
      <c r="L141" s="83"/>
      <c r="M141" s="84"/>
      <c r="N141" s="84"/>
      <c r="O141" s="83"/>
      <c r="P141" s="55"/>
      <c r="Q141" s="53"/>
    </row>
    <row r="142" spans="1:17" ht="12.75">
      <c r="A142" s="10" t="s">
        <v>76</v>
      </c>
      <c r="B142" s="10"/>
      <c r="C142" s="84"/>
      <c r="D142" s="84"/>
      <c r="E142" s="84"/>
      <c r="F142" s="84">
        <f>C142+D142+E142</f>
        <v>0</v>
      </c>
      <c r="G142" s="84">
        <v>1120</v>
      </c>
      <c r="H142" s="84"/>
      <c r="I142" s="84">
        <f>F142+G142+H142</f>
        <v>1120</v>
      </c>
      <c r="J142" s="84">
        <f>56.3</f>
        <v>56.3</v>
      </c>
      <c r="K142" s="84"/>
      <c r="L142" s="84">
        <f>I142+J142+K142</f>
        <v>1176.3</v>
      </c>
      <c r="M142" s="84"/>
      <c r="N142" s="84"/>
      <c r="O142" s="84">
        <f>L142+M142+N142</f>
        <v>1176.3</v>
      </c>
      <c r="P142" s="55"/>
      <c r="Q142" s="53">
        <f t="shared" si="18"/>
        <v>1176.3</v>
      </c>
    </row>
    <row r="143" spans="1:17" ht="12.75" hidden="1">
      <c r="A143" s="20" t="s">
        <v>372</v>
      </c>
      <c r="B143" s="10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55"/>
      <c r="Q143" s="53"/>
    </row>
    <row r="144" spans="1:17" ht="12.75" hidden="1">
      <c r="A144" s="20" t="s">
        <v>374</v>
      </c>
      <c r="B144" s="10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55"/>
      <c r="Q144" s="53"/>
    </row>
    <row r="145" spans="1:17" ht="12.75">
      <c r="A145" s="14" t="s">
        <v>104</v>
      </c>
      <c r="B145" s="14"/>
      <c r="C145" s="88"/>
      <c r="D145" s="88"/>
      <c r="E145" s="88"/>
      <c r="F145" s="88">
        <f>C145+D145+E145</f>
        <v>0</v>
      </c>
      <c r="G145" s="88"/>
      <c r="H145" s="88"/>
      <c r="I145" s="88">
        <f>F145+G145+H145</f>
        <v>0</v>
      </c>
      <c r="J145" s="88">
        <f>453.6</f>
        <v>453.6</v>
      </c>
      <c r="K145" s="88"/>
      <c r="L145" s="88">
        <f>I145+J145+K145</f>
        <v>453.6</v>
      </c>
      <c r="M145" s="88">
        <f>2280+29851.2</f>
        <v>32131.2</v>
      </c>
      <c r="N145" s="88"/>
      <c r="O145" s="88">
        <f>L145+M145+N145</f>
        <v>32584.8</v>
      </c>
      <c r="P145" s="68"/>
      <c r="Q145" s="69">
        <f t="shared" si="18"/>
        <v>32584.8</v>
      </c>
    </row>
    <row r="146" spans="1:17" ht="12.75">
      <c r="A146" s="8" t="s">
        <v>85</v>
      </c>
      <c r="B146" s="8"/>
      <c r="C146" s="83">
        <f aca="true" t="shared" si="32" ref="C146:O146">C147+C156</f>
        <v>108810</v>
      </c>
      <c r="D146" s="83">
        <f t="shared" si="32"/>
        <v>-45000</v>
      </c>
      <c r="E146" s="83">
        <f t="shared" si="32"/>
        <v>0</v>
      </c>
      <c r="F146" s="83">
        <f t="shared" si="32"/>
        <v>63810</v>
      </c>
      <c r="G146" s="83">
        <f t="shared" si="32"/>
        <v>6564.5</v>
      </c>
      <c r="H146" s="83">
        <f t="shared" si="32"/>
        <v>0</v>
      </c>
      <c r="I146" s="83">
        <f t="shared" si="32"/>
        <v>70374.5</v>
      </c>
      <c r="J146" s="83">
        <f t="shared" si="32"/>
        <v>3976.8000000000006</v>
      </c>
      <c r="K146" s="83">
        <f t="shared" si="32"/>
        <v>18000.6</v>
      </c>
      <c r="L146" s="83">
        <f t="shared" si="32"/>
        <v>92351.9</v>
      </c>
      <c r="M146" s="83">
        <f t="shared" si="32"/>
        <v>5556.7</v>
      </c>
      <c r="N146" s="83">
        <f t="shared" si="32"/>
        <v>0</v>
      </c>
      <c r="O146" s="83">
        <f t="shared" si="32"/>
        <v>97908.6</v>
      </c>
      <c r="P146" s="56"/>
      <c r="Q146" s="38">
        <f>Q147+Q156</f>
        <v>97908.6</v>
      </c>
    </row>
    <row r="147" spans="1:17" ht="12.75">
      <c r="A147" s="17" t="s">
        <v>69</v>
      </c>
      <c r="B147" s="17"/>
      <c r="C147" s="87">
        <f aca="true" t="shared" si="33" ref="C147:O147">SUM(C149:C154)</f>
        <v>63810</v>
      </c>
      <c r="D147" s="87">
        <f t="shared" si="33"/>
        <v>-45000</v>
      </c>
      <c r="E147" s="87">
        <f t="shared" si="33"/>
        <v>0</v>
      </c>
      <c r="F147" s="87">
        <f t="shared" si="33"/>
        <v>18810</v>
      </c>
      <c r="G147" s="87">
        <f t="shared" si="33"/>
        <v>1564.5</v>
      </c>
      <c r="H147" s="87">
        <f t="shared" si="33"/>
        <v>0</v>
      </c>
      <c r="I147" s="87">
        <f t="shared" si="33"/>
        <v>20374.5</v>
      </c>
      <c r="J147" s="87">
        <f t="shared" si="33"/>
        <v>4116.400000000001</v>
      </c>
      <c r="K147" s="87">
        <f t="shared" si="33"/>
        <v>-1238.8</v>
      </c>
      <c r="L147" s="87">
        <f t="shared" si="33"/>
        <v>23252.1</v>
      </c>
      <c r="M147" s="87">
        <f t="shared" si="33"/>
        <v>56.7</v>
      </c>
      <c r="N147" s="87">
        <f t="shared" si="33"/>
        <v>0</v>
      </c>
      <c r="O147" s="87">
        <f t="shared" si="33"/>
        <v>23308.8</v>
      </c>
      <c r="P147" s="60"/>
      <c r="Q147" s="39">
        <f>SUM(Q149:Q154)</f>
        <v>23308.8</v>
      </c>
    </row>
    <row r="148" spans="1:17" ht="12.75">
      <c r="A148" s="13" t="s">
        <v>38</v>
      </c>
      <c r="B148" s="13"/>
      <c r="C148" s="84"/>
      <c r="D148" s="84"/>
      <c r="E148" s="84"/>
      <c r="F148" s="83"/>
      <c r="G148" s="84"/>
      <c r="H148" s="84"/>
      <c r="I148" s="83"/>
      <c r="J148" s="84"/>
      <c r="K148" s="84"/>
      <c r="L148" s="83"/>
      <c r="M148" s="84"/>
      <c r="N148" s="84"/>
      <c r="O148" s="83"/>
      <c r="P148" s="55"/>
      <c r="Q148" s="53"/>
    </row>
    <row r="149" spans="1:17" ht="12" customHeight="1">
      <c r="A149" s="15" t="s">
        <v>264</v>
      </c>
      <c r="B149" s="15"/>
      <c r="C149" s="84">
        <v>45000</v>
      </c>
      <c r="D149" s="84">
        <v>-45000</v>
      </c>
      <c r="E149" s="84"/>
      <c r="F149" s="84">
        <f>C149+D149+E149</f>
        <v>0</v>
      </c>
      <c r="G149" s="84"/>
      <c r="H149" s="84"/>
      <c r="I149" s="84">
        <f>F149+G149+H149</f>
        <v>0</v>
      </c>
      <c r="J149" s="84"/>
      <c r="K149" s="84"/>
      <c r="L149" s="84">
        <f>I149+J149+K149</f>
        <v>0</v>
      </c>
      <c r="M149" s="84"/>
      <c r="N149" s="84"/>
      <c r="O149" s="84">
        <f>L149+M149+N149</f>
        <v>0</v>
      </c>
      <c r="P149" s="55"/>
      <c r="Q149" s="53">
        <f t="shared" si="18"/>
        <v>0</v>
      </c>
    </row>
    <row r="150" spans="1:17" ht="12.75">
      <c r="A150" s="11" t="s">
        <v>72</v>
      </c>
      <c r="B150" s="11"/>
      <c r="C150" s="84">
        <v>18810</v>
      </c>
      <c r="D150" s="84"/>
      <c r="E150" s="84"/>
      <c r="F150" s="84">
        <f aca="true" t="shared" si="34" ref="F150:F155">C150+D150+E150</f>
        <v>18810</v>
      </c>
      <c r="G150" s="84"/>
      <c r="H150" s="84"/>
      <c r="I150" s="84">
        <f aca="true" t="shared" si="35" ref="I150:I155">F150+G150+H150</f>
        <v>18810</v>
      </c>
      <c r="J150" s="84"/>
      <c r="K150" s="84">
        <f>-1124.5-910-1250</f>
        <v>-3284.5</v>
      </c>
      <c r="L150" s="84">
        <f aca="true" t="shared" si="36" ref="L150:L155">I150+J150+K150</f>
        <v>15525.5</v>
      </c>
      <c r="M150" s="84"/>
      <c r="N150" s="84"/>
      <c r="O150" s="84">
        <f aca="true" t="shared" si="37" ref="O150:O155">L150+M150+N150</f>
        <v>15525.5</v>
      </c>
      <c r="P150" s="55"/>
      <c r="Q150" s="53">
        <f t="shared" si="18"/>
        <v>15525.5</v>
      </c>
    </row>
    <row r="151" spans="1:17" ht="12.75">
      <c r="A151" s="11" t="s">
        <v>87</v>
      </c>
      <c r="B151" s="11"/>
      <c r="C151" s="84"/>
      <c r="D151" s="84"/>
      <c r="E151" s="84"/>
      <c r="F151" s="84">
        <f t="shared" si="34"/>
        <v>0</v>
      </c>
      <c r="G151" s="84"/>
      <c r="H151" s="84"/>
      <c r="I151" s="84">
        <f t="shared" si="35"/>
        <v>0</v>
      </c>
      <c r="J151" s="84"/>
      <c r="K151" s="84">
        <f>1124.5+910</f>
        <v>2034.5</v>
      </c>
      <c r="L151" s="84">
        <f t="shared" si="36"/>
        <v>2034.5</v>
      </c>
      <c r="M151" s="84"/>
      <c r="N151" s="84"/>
      <c r="O151" s="84">
        <f t="shared" si="37"/>
        <v>2034.5</v>
      </c>
      <c r="P151" s="55"/>
      <c r="Q151" s="53">
        <f t="shared" si="18"/>
        <v>2034.5</v>
      </c>
    </row>
    <row r="152" spans="1:17" ht="12.75">
      <c r="A152" s="11" t="s">
        <v>88</v>
      </c>
      <c r="B152" s="11">
        <v>98278</v>
      </c>
      <c r="C152" s="84"/>
      <c r="D152" s="84"/>
      <c r="E152" s="84"/>
      <c r="F152" s="84">
        <f t="shared" si="34"/>
        <v>0</v>
      </c>
      <c r="G152" s="84">
        <v>20.1</v>
      </c>
      <c r="H152" s="84"/>
      <c r="I152" s="84">
        <f t="shared" si="35"/>
        <v>20.1</v>
      </c>
      <c r="J152" s="84">
        <f>353.6+92.9+764.7</f>
        <v>1211.2</v>
      </c>
      <c r="K152" s="84"/>
      <c r="L152" s="84">
        <f t="shared" si="36"/>
        <v>1231.3</v>
      </c>
      <c r="M152" s="84">
        <v>56.7</v>
      </c>
      <c r="N152" s="84"/>
      <c r="O152" s="84">
        <f t="shared" si="37"/>
        <v>1288</v>
      </c>
      <c r="P152" s="55"/>
      <c r="Q152" s="53">
        <f t="shared" si="18"/>
        <v>1288</v>
      </c>
    </row>
    <row r="153" spans="1:17" ht="12.75">
      <c r="A153" s="11" t="s">
        <v>103</v>
      </c>
      <c r="B153" s="11"/>
      <c r="C153" s="84"/>
      <c r="D153" s="84"/>
      <c r="E153" s="84"/>
      <c r="F153" s="84">
        <f t="shared" si="34"/>
        <v>0</v>
      </c>
      <c r="G153" s="84">
        <v>1544.4</v>
      </c>
      <c r="H153" s="84"/>
      <c r="I153" s="84">
        <f t="shared" si="35"/>
        <v>1544.4</v>
      </c>
      <c r="J153" s="84">
        <v>2765.6</v>
      </c>
      <c r="K153" s="84"/>
      <c r="L153" s="84">
        <f t="shared" si="36"/>
        <v>4310</v>
      </c>
      <c r="M153" s="84"/>
      <c r="N153" s="84"/>
      <c r="O153" s="84">
        <f t="shared" si="37"/>
        <v>4310</v>
      </c>
      <c r="P153" s="55"/>
      <c r="Q153" s="53">
        <f aca="true" t="shared" si="38" ref="Q153:Q209">O153+P153</f>
        <v>4310</v>
      </c>
    </row>
    <row r="154" spans="1:17" ht="12.75">
      <c r="A154" s="10" t="s">
        <v>90</v>
      </c>
      <c r="B154" s="10"/>
      <c r="C154" s="84"/>
      <c r="D154" s="84"/>
      <c r="E154" s="84"/>
      <c r="F154" s="84">
        <f t="shared" si="34"/>
        <v>0</v>
      </c>
      <c r="G154" s="84"/>
      <c r="H154" s="84"/>
      <c r="I154" s="84">
        <f t="shared" si="35"/>
        <v>0</v>
      </c>
      <c r="J154" s="84">
        <v>139.6</v>
      </c>
      <c r="K154" s="84">
        <v>11.2</v>
      </c>
      <c r="L154" s="84">
        <f t="shared" si="36"/>
        <v>150.79999999999998</v>
      </c>
      <c r="M154" s="84"/>
      <c r="N154" s="84"/>
      <c r="O154" s="84">
        <f t="shared" si="37"/>
        <v>150.79999999999998</v>
      </c>
      <c r="P154" s="55"/>
      <c r="Q154" s="53">
        <f t="shared" si="38"/>
        <v>150.79999999999998</v>
      </c>
    </row>
    <row r="155" spans="1:17" ht="12.75">
      <c r="A155" s="10" t="s">
        <v>91</v>
      </c>
      <c r="B155" s="10"/>
      <c r="C155" s="84"/>
      <c r="D155" s="84"/>
      <c r="E155" s="84"/>
      <c r="F155" s="84">
        <f t="shared" si="34"/>
        <v>0</v>
      </c>
      <c r="G155" s="84"/>
      <c r="H155" s="84"/>
      <c r="I155" s="84">
        <f t="shared" si="35"/>
        <v>0</v>
      </c>
      <c r="J155" s="84">
        <v>139.6</v>
      </c>
      <c r="K155" s="84">
        <v>11.2</v>
      </c>
      <c r="L155" s="84">
        <f t="shared" si="36"/>
        <v>150.79999999999998</v>
      </c>
      <c r="M155" s="84"/>
      <c r="N155" s="84"/>
      <c r="O155" s="84">
        <f t="shared" si="37"/>
        <v>150.79999999999998</v>
      </c>
      <c r="P155" s="55"/>
      <c r="Q155" s="53">
        <f t="shared" si="38"/>
        <v>150.79999999999998</v>
      </c>
    </row>
    <row r="156" spans="1:17" ht="12.75">
      <c r="A156" s="18" t="s">
        <v>75</v>
      </c>
      <c r="B156" s="18"/>
      <c r="C156" s="89">
        <f aca="true" t="shared" si="39" ref="C156:O156">SUM(C158:C161)</f>
        <v>45000</v>
      </c>
      <c r="D156" s="89">
        <f t="shared" si="39"/>
        <v>0</v>
      </c>
      <c r="E156" s="89">
        <f t="shared" si="39"/>
        <v>0</v>
      </c>
      <c r="F156" s="89">
        <f t="shared" si="39"/>
        <v>45000</v>
      </c>
      <c r="G156" s="89">
        <f t="shared" si="39"/>
        <v>5000</v>
      </c>
      <c r="H156" s="89">
        <f t="shared" si="39"/>
        <v>0</v>
      </c>
      <c r="I156" s="89">
        <f t="shared" si="39"/>
        <v>50000</v>
      </c>
      <c r="J156" s="89">
        <f t="shared" si="39"/>
        <v>-139.6</v>
      </c>
      <c r="K156" s="89">
        <f t="shared" si="39"/>
        <v>19239.399999999998</v>
      </c>
      <c r="L156" s="89">
        <f t="shared" si="39"/>
        <v>69099.8</v>
      </c>
      <c r="M156" s="89">
        <f t="shared" si="39"/>
        <v>5500</v>
      </c>
      <c r="N156" s="89">
        <f t="shared" si="39"/>
        <v>0</v>
      </c>
      <c r="O156" s="89">
        <f t="shared" si="39"/>
        <v>74599.8</v>
      </c>
      <c r="P156" s="61"/>
      <c r="Q156" s="49">
        <f>SUM(Q158:Q161)</f>
        <v>74599.8</v>
      </c>
    </row>
    <row r="157" spans="1:17" ht="12.75">
      <c r="A157" s="9" t="s">
        <v>38</v>
      </c>
      <c r="B157" s="9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55"/>
      <c r="Q157" s="53"/>
    </row>
    <row r="158" spans="1:17" ht="12.75">
      <c r="A158" s="10" t="s">
        <v>92</v>
      </c>
      <c r="B158" s="10"/>
      <c r="C158" s="84"/>
      <c r="D158" s="84"/>
      <c r="E158" s="84"/>
      <c r="F158" s="84">
        <f>C158+D158+E158</f>
        <v>0</v>
      </c>
      <c r="G158" s="84">
        <v>5000</v>
      </c>
      <c r="H158" s="84"/>
      <c r="I158" s="84">
        <f>F158+G158+H158</f>
        <v>5000</v>
      </c>
      <c r="J158" s="84"/>
      <c r="K158" s="84">
        <v>1250</v>
      </c>
      <c r="L158" s="84">
        <f>I158+J158+K158</f>
        <v>6250</v>
      </c>
      <c r="M158" s="84">
        <v>5500</v>
      </c>
      <c r="N158" s="84"/>
      <c r="O158" s="84">
        <f>L158+M158+N158</f>
        <v>11750</v>
      </c>
      <c r="P158" s="55"/>
      <c r="Q158" s="53">
        <f t="shared" si="38"/>
        <v>11750</v>
      </c>
    </row>
    <row r="159" spans="1:17" ht="12.75" hidden="1">
      <c r="A159" s="10" t="s">
        <v>76</v>
      </c>
      <c r="B159" s="10"/>
      <c r="C159" s="84"/>
      <c r="D159" s="84"/>
      <c r="E159" s="84"/>
      <c r="F159" s="84">
        <f>C159+D159+E159</f>
        <v>0</v>
      </c>
      <c r="G159" s="84"/>
      <c r="H159" s="84"/>
      <c r="I159" s="84">
        <f>F159+G159+H159</f>
        <v>0</v>
      </c>
      <c r="J159" s="84"/>
      <c r="K159" s="84"/>
      <c r="L159" s="84">
        <f>I159+J159+K159</f>
        <v>0</v>
      </c>
      <c r="M159" s="84"/>
      <c r="N159" s="84"/>
      <c r="O159" s="84">
        <f>L159+M159+N159</f>
        <v>0</v>
      </c>
      <c r="P159" s="55"/>
      <c r="Q159" s="53"/>
    </row>
    <row r="160" spans="1:17" ht="12.75" hidden="1">
      <c r="A160" s="11" t="s">
        <v>103</v>
      </c>
      <c r="B160" s="11"/>
      <c r="C160" s="84"/>
      <c r="D160" s="84"/>
      <c r="E160" s="84"/>
      <c r="F160" s="84">
        <f>C160+D160+E160</f>
        <v>0</v>
      </c>
      <c r="G160" s="84"/>
      <c r="H160" s="84"/>
      <c r="I160" s="84">
        <f>F160+G160+H160</f>
        <v>0</v>
      </c>
      <c r="J160" s="84"/>
      <c r="K160" s="84"/>
      <c r="L160" s="84">
        <f>I160+J160+K160</f>
        <v>0</v>
      </c>
      <c r="M160" s="84"/>
      <c r="N160" s="84"/>
      <c r="O160" s="84">
        <f>L160+M160+N160</f>
        <v>0</v>
      </c>
      <c r="P160" s="55"/>
      <c r="Q160" s="53">
        <f t="shared" si="38"/>
        <v>0</v>
      </c>
    </row>
    <row r="161" spans="1:17" ht="12.75">
      <c r="A161" s="10" t="s">
        <v>90</v>
      </c>
      <c r="B161" s="10"/>
      <c r="C161" s="84">
        <v>45000</v>
      </c>
      <c r="D161" s="84"/>
      <c r="E161" s="84"/>
      <c r="F161" s="84">
        <f>C161+D161+E161</f>
        <v>45000</v>
      </c>
      <c r="G161" s="84"/>
      <c r="H161" s="84"/>
      <c r="I161" s="84">
        <f>F161+G161+H161</f>
        <v>45000</v>
      </c>
      <c r="J161" s="84">
        <v>-139.6</v>
      </c>
      <c r="K161" s="84">
        <f>-11.2+18000.6</f>
        <v>17989.399999999998</v>
      </c>
      <c r="L161" s="84">
        <f>I161+J161+K161</f>
        <v>62849.8</v>
      </c>
      <c r="M161" s="84"/>
      <c r="N161" s="84"/>
      <c r="O161" s="84">
        <f>L161+M161+N161</f>
        <v>62849.8</v>
      </c>
      <c r="P161" s="55"/>
      <c r="Q161" s="53">
        <f t="shared" si="38"/>
        <v>62849.8</v>
      </c>
    </row>
    <row r="162" spans="1:17" ht="12.75">
      <c r="A162" s="19" t="s">
        <v>93</v>
      </c>
      <c r="B162" s="19"/>
      <c r="C162" s="88"/>
      <c r="D162" s="88"/>
      <c r="E162" s="88"/>
      <c r="F162" s="88">
        <f>C162+D162+E162</f>
        <v>0</v>
      </c>
      <c r="G162" s="88"/>
      <c r="H162" s="88"/>
      <c r="I162" s="88">
        <f>F162+G162+H162</f>
        <v>0</v>
      </c>
      <c r="J162" s="88">
        <v>248</v>
      </c>
      <c r="K162" s="88">
        <v>18545</v>
      </c>
      <c r="L162" s="88">
        <f>I162+J162+K162</f>
        <v>18793</v>
      </c>
      <c r="M162" s="88"/>
      <c r="N162" s="88"/>
      <c r="O162" s="88">
        <f>L162+M162+N162</f>
        <v>18793</v>
      </c>
      <c r="P162" s="68"/>
      <c r="Q162" s="69">
        <f t="shared" si="38"/>
        <v>18793</v>
      </c>
    </row>
    <row r="163" spans="1:17" ht="12.75">
      <c r="A163" s="12" t="s">
        <v>94</v>
      </c>
      <c r="B163" s="12"/>
      <c r="C163" s="85">
        <f aca="true" t="shared" si="40" ref="C163:O163">C164+C169</f>
        <v>10174</v>
      </c>
      <c r="D163" s="85">
        <f t="shared" si="40"/>
        <v>0</v>
      </c>
      <c r="E163" s="85">
        <f t="shared" si="40"/>
        <v>0</v>
      </c>
      <c r="F163" s="85">
        <f t="shared" si="40"/>
        <v>10174</v>
      </c>
      <c r="G163" s="85">
        <f t="shared" si="40"/>
        <v>1673</v>
      </c>
      <c r="H163" s="85">
        <f t="shared" si="40"/>
        <v>-1250</v>
      </c>
      <c r="I163" s="85">
        <f t="shared" si="40"/>
        <v>10597</v>
      </c>
      <c r="J163" s="85">
        <f t="shared" si="40"/>
        <v>0</v>
      </c>
      <c r="K163" s="85">
        <f t="shared" si="40"/>
        <v>0</v>
      </c>
      <c r="L163" s="85">
        <f t="shared" si="40"/>
        <v>10597</v>
      </c>
      <c r="M163" s="85">
        <f t="shared" si="40"/>
        <v>0</v>
      </c>
      <c r="N163" s="85">
        <f t="shared" si="40"/>
        <v>0</v>
      </c>
      <c r="O163" s="85">
        <f t="shared" si="40"/>
        <v>10597</v>
      </c>
      <c r="P163" s="58"/>
      <c r="Q163" s="7">
        <f>Q164+Q169</f>
        <v>10597</v>
      </c>
    </row>
    <row r="164" spans="1:17" ht="12.75">
      <c r="A164" s="17" t="s">
        <v>69</v>
      </c>
      <c r="B164" s="17"/>
      <c r="C164" s="87">
        <f aca="true" t="shared" si="41" ref="C164:O164">SUM(C166:C168)</f>
        <v>10174</v>
      </c>
      <c r="D164" s="87">
        <f t="shared" si="41"/>
        <v>0</v>
      </c>
      <c r="E164" s="87">
        <f t="shared" si="41"/>
        <v>0</v>
      </c>
      <c r="F164" s="87">
        <f t="shared" si="41"/>
        <v>10174</v>
      </c>
      <c r="G164" s="87">
        <f t="shared" si="41"/>
        <v>1373</v>
      </c>
      <c r="H164" s="87">
        <f t="shared" si="41"/>
        <v>-1250</v>
      </c>
      <c r="I164" s="87">
        <f t="shared" si="41"/>
        <v>10297</v>
      </c>
      <c r="J164" s="87">
        <f t="shared" si="41"/>
        <v>0</v>
      </c>
      <c r="K164" s="87">
        <f t="shared" si="41"/>
        <v>0</v>
      </c>
      <c r="L164" s="87">
        <f t="shared" si="41"/>
        <v>10297</v>
      </c>
      <c r="M164" s="87">
        <f t="shared" si="41"/>
        <v>0</v>
      </c>
      <c r="N164" s="87">
        <f t="shared" si="41"/>
        <v>0</v>
      </c>
      <c r="O164" s="87">
        <f t="shared" si="41"/>
        <v>10297</v>
      </c>
      <c r="P164" s="60"/>
      <c r="Q164" s="39">
        <f>SUM(Q166:Q168)</f>
        <v>10297</v>
      </c>
    </row>
    <row r="165" spans="1:17" ht="12.75">
      <c r="A165" s="13" t="s">
        <v>38</v>
      </c>
      <c r="B165" s="13"/>
      <c r="C165" s="84"/>
      <c r="D165" s="84"/>
      <c r="E165" s="84"/>
      <c r="F165" s="83"/>
      <c r="G165" s="84"/>
      <c r="H165" s="84"/>
      <c r="I165" s="83"/>
      <c r="J165" s="84"/>
      <c r="K165" s="84"/>
      <c r="L165" s="83"/>
      <c r="M165" s="84"/>
      <c r="N165" s="84"/>
      <c r="O165" s="83"/>
      <c r="P165" s="55"/>
      <c r="Q165" s="53"/>
    </row>
    <row r="166" spans="1:17" ht="12.75">
      <c r="A166" s="11" t="s">
        <v>72</v>
      </c>
      <c r="B166" s="11"/>
      <c r="C166" s="84">
        <v>10174</v>
      </c>
      <c r="D166" s="84"/>
      <c r="E166" s="84"/>
      <c r="F166" s="84">
        <f>SUM(C166:E166)</f>
        <v>10174</v>
      </c>
      <c r="G166" s="84"/>
      <c r="H166" s="84">
        <v>-1250</v>
      </c>
      <c r="I166" s="84">
        <f>SUM(F166:H166)</f>
        <v>8924</v>
      </c>
      <c r="J166" s="84"/>
      <c r="K166" s="84"/>
      <c r="L166" s="84">
        <f>I166+J166+K166</f>
        <v>8924</v>
      </c>
      <c r="M166" s="84"/>
      <c r="N166" s="84"/>
      <c r="O166" s="84">
        <f>L166+M166+N166</f>
        <v>8924</v>
      </c>
      <c r="P166" s="55"/>
      <c r="Q166" s="53">
        <f t="shared" si="38"/>
        <v>8924</v>
      </c>
    </row>
    <row r="167" spans="1:17" ht="12.75">
      <c r="A167" s="15" t="s">
        <v>95</v>
      </c>
      <c r="B167" s="15">
        <v>33166</v>
      </c>
      <c r="C167" s="84"/>
      <c r="D167" s="84"/>
      <c r="E167" s="84"/>
      <c r="F167" s="84">
        <f>SUM(C167:E167)</f>
        <v>0</v>
      </c>
      <c r="G167" s="84">
        <v>1373</v>
      </c>
      <c r="H167" s="84"/>
      <c r="I167" s="84">
        <f>SUM(F167:H167)</f>
        <v>1373</v>
      </c>
      <c r="J167" s="84"/>
      <c r="K167" s="84"/>
      <c r="L167" s="84">
        <f>I167+J167+K167</f>
        <v>1373</v>
      </c>
      <c r="M167" s="84"/>
      <c r="N167" s="84"/>
      <c r="O167" s="84">
        <f>L167+M167+N167</f>
        <v>1373</v>
      </c>
      <c r="P167" s="55"/>
      <c r="Q167" s="53">
        <f t="shared" si="38"/>
        <v>1373</v>
      </c>
    </row>
    <row r="168" spans="1:17" ht="12.75" hidden="1">
      <c r="A168" s="15" t="s">
        <v>87</v>
      </c>
      <c r="B168" s="15"/>
      <c r="C168" s="84"/>
      <c r="D168" s="84"/>
      <c r="E168" s="84"/>
      <c r="F168" s="84">
        <f>SUM(C168:E168)</f>
        <v>0</v>
      </c>
      <c r="G168" s="84"/>
      <c r="H168" s="84"/>
      <c r="I168" s="84">
        <f>SUM(F168:H168)</f>
        <v>0</v>
      </c>
      <c r="J168" s="84"/>
      <c r="K168" s="84"/>
      <c r="L168" s="84">
        <f>I168+J168+K168</f>
        <v>0</v>
      </c>
      <c r="M168" s="84"/>
      <c r="N168" s="84"/>
      <c r="O168" s="84">
        <f>L168+M168+N168</f>
        <v>0</v>
      </c>
      <c r="P168" s="55"/>
      <c r="Q168" s="53">
        <f t="shared" si="38"/>
        <v>0</v>
      </c>
    </row>
    <row r="169" spans="1:17" ht="12.75">
      <c r="A169" s="17" t="s">
        <v>75</v>
      </c>
      <c r="B169" s="17"/>
      <c r="C169" s="87">
        <f>C172+C171</f>
        <v>0</v>
      </c>
      <c r="D169" s="87">
        <f>D172</f>
        <v>0</v>
      </c>
      <c r="E169" s="87"/>
      <c r="F169" s="87">
        <f>F172+F171</f>
        <v>0</v>
      </c>
      <c r="G169" s="87">
        <f>G172+G171</f>
        <v>300</v>
      </c>
      <c r="H169" s="87">
        <f>H172</f>
        <v>0</v>
      </c>
      <c r="I169" s="87">
        <f aca="true" t="shared" si="42" ref="I169:O169">I172+I171</f>
        <v>300</v>
      </c>
      <c r="J169" s="87">
        <f t="shared" si="42"/>
        <v>0</v>
      </c>
      <c r="K169" s="87">
        <f t="shared" si="42"/>
        <v>0</v>
      </c>
      <c r="L169" s="87">
        <f t="shared" si="42"/>
        <v>300</v>
      </c>
      <c r="M169" s="87">
        <f t="shared" si="42"/>
        <v>0</v>
      </c>
      <c r="N169" s="87">
        <f t="shared" si="42"/>
        <v>0</v>
      </c>
      <c r="O169" s="87">
        <f t="shared" si="42"/>
        <v>300</v>
      </c>
      <c r="P169" s="60"/>
      <c r="Q169" s="39">
        <f>Q172+Q171</f>
        <v>300</v>
      </c>
    </row>
    <row r="170" spans="1:17" ht="12.75">
      <c r="A170" s="13" t="s">
        <v>38</v>
      </c>
      <c r="B170" s="13"/>
      <c r="C170" s="84"/>
      <c r="D170" s="84"/>
      <c r="E170" s="84"/>
      <c r="F170" s="83"/>
      <c r="G170" s="84"/>
      <c r="H170" s="84"/>
      <c r="I170" s="83"/>
      <c r="J170" s="84"/>
      <c r="K170" s="84"/>
      <c r="L170" s="83"/>
      <c r="M170" s="84"/>
      <c r="N170" s="84"/>
      <c r="O170" s="83"/>
      <c r="P170" s="55"/>
      <c r="Q170" s="53"/>
    </row>
    <row r="171" spans="1:17" ht="12.75">
      <c r="A171" s="14" t="s">
        <v>313</v>
      </c>
      <c r="B171" s="14"/>
      <c r="C171" s="88"/>
      <c r="D171" s="88"/>
      <c r="E171" s="88"/>
      <c r="F171" s="88">
        <f>C171+D171+E171</f>
        <v>0</v>
      </c>
      <c r="G171" s="88">
        <v>300</v>
      </c>
      <c r="H171" s="88"/>
      <c r="I171" s="88">
        <f>SUM(F171:H171)</f>
        <v>300</v>
      </c>
      <c r="J171" s="88"/>
      <c r="K171" s="88"/>
      <c r="L171" s="88">
        <f>I171+J171+K171</f>
        <v>300</v>
      </c>
      <c r="M171" s="88"/>
      <c r="N171" s="88"/>
      <c r="O171" s="88">
        <f>L171+M171+N171</f>
        <v>300</v>
      </c>
      <c r="P171" s="68"/>
      <c r="Q171" s="69">
        <f t="shared" si="38"/>
        <v>300</v>
      </c>
    </row>
    <row r="172" spans="1:17" ht="12.75" hidden="1">
      <c r="A172" s="14" t="s">
        <v>89</v>
      </c>
      <c r="B172" s="14"/>
      <c r="C172" s="88"/>
      <c r="D172" s="88"/>
      <c r="E172" s="88"/>
      <c r="F172" s="88">
        <f>SUM(C172:E172)</f>
        <v>0</v>
      </c>
      <c r="G172" s="88"/>
      <c r="H172" s="88"/>
      <c r="I172" s="88">
        <f>SUM(F172:H172)</f>
        <v>0</v>
      </c>
      <c r="J172" s="88"/>
      <c r="K172" s="88"/>
      <c r="L172" s="88">
        <f>I172+J172+K172</f>
        <v>0</v>
      </c>
      <c r="M172" s="88"/>
      <c r="N172" s="88"/>
      <c r="O172" s="88">
        <f>L172+M172+N172</f>
        <v>0</v>
      </c>
      <c r="P172" s="55"/>
      <c r="Q172" s="53">
        <f t="shared" si="38"/>
        <v>0</v>
      </c>
    </row>
    <row r="173" spans="1:17" ht="12.75">
      <c r="A173" s="8" t="s">
        <v>96</v>
      </c>
      <c r="B173" s="8"/>
      <c r="C173" s="83">
        <f aca="true" t="shared" si="43" ref="C173:O173">C174+C186</f>
        <v>1108760</v>
      </c>
      <c r="D173" s="83">
        <f t="shared" si="43"/>
        <v>-11000</v>
      </c>
      <c r="E173" s="83">
        <f t="shared" si="43"/>
        <v>6673</v>
      </c>
      <c r="F173" s="83">
        <f t="shared" si="43"/>
        <v>1104433</v>
      </c>
      <c r="G173" s="83">
        <f t="shared" si="43"/>
        <v>23308.2</v>
      </c>
      <c r="H173" s="83">
        <f t="shared" si="43"/>
        <v>0</v>
      </c>
      <c r="I173" s="83">
        <f t="shared" si="43"/>
        <v>1127741.2000000002</v>
      </c>
      <c r="J173" s="83">
        <f t="shared" si="43"/>
        <v>256762.9</v>
      </c>
      <c r="K173" s="83">
        <f t="shared" si="43"/>
        <v>0</v>
      </c>
      <c r="L173" s="83">
        <f t="shared" si="43"/>
        <v>1384504.1</v>
      </c>
      <c r="M173" s="83">
        <f t="shared" si="43"/>
        <v>76134.3</v>
      </c>
      <c r="N173" s="83">
        <f t="shared" si="43"/>
        <v>0</v>
      </c>
      <c r="O173" s="83">
        <f t="shared" si="43"/>
        <v>1460638.4</v>
      </c>
      <c r="P173" s="56"/>
      <c r="Q173" s="38">
        <f>Q174+Q186</f>
        <v>1394845.4</v>
      </c>
    </row>
    <row r="174" spans="1:17" ht="12.75">
      <c r="A174" s="17" t="s">
        <v>69</v>
      </c>
      <c r="B174" s="17"/>
      <c r="C174" s="87">
        <f aca="true" t="shared" si="44" ref="C174:O174">SUM(C177:C185)</f>
        <v>1094760</v>
      </c>
      <c r="D174" s="87">
        <f t="shared" si="44"/>
        <v>3000</v>
      </c>
      <c r="E174" s="87">
        <f t="shared" si="44"/>
        <v>6673</v>
      </c>
      <c r="F174" s="87">
        <f t="shared" si="44"/>
        <v>1104433</v>
      </c>
      <c r="G174" s="87">
        <f t="shared" si="44"/>
        <v>20008.2</v>
      </c>
      <c r="H174" s="87">
        <f t="shared" si="44"/>
        <v>0</v>
      </c>
      <c r="I174" s="87">
        <f t="shared" si="44"/>
        <v>1124441.2000000002</v>
      </c>
      <c r="J174" s="87">
        <f t="shared" si="44"/>
        <v>256762.9</v>
      </c>
      <c r="K174" s="87">
        <f t="shared" si="44"/>
        <v>0</v>
      </c>
      <c r="L174" s="87">
        <f t="shared" si="44"/>
        <v>1381204.1</v>
      </c>
      <c r="M174" s="87">
        <f t="shared" si="44"/>
        <v>76134.3</v>
      </c>
      <c r="N174" s="87">
        <f t="shared" si="44"/>
        <v>0</v>
      </c>
      <c r="O174" s="87">
        <f t="shared" si="44"/>
        <v>1457338.4</v>
      </c>
      <c r="P174" s="60"/>
      <c r="Q174" s="39">
        <f>SUM(Q177:Q185)</f>
        <v>1391545.4</v>
      </c>
    </row>
    <row r="175" spans="1:17" ht="12.75">
      <c r="A175" s="13" t="s">
        <v>38</v>
      </c>
      <c r="B175" s="13"/>
      <c r="C175" s="84"/>
      <c r="D175" s="84"/>
      <c r="E175" s="84"/>
      <c r="F175" s="83"/>
      <c r="G175" s="84"/>
      <c r="H175" s="84"/>
      <c r="I175" s="83"/>
      <c r="J175" s="84"/>
      <c r="K175" s="84"/>
      <c r="L175" s="83"/>
      <c r="M175" s="84"/>
      <c r="N175" s="84"/>
      <c r="O175" s="83"/>
      <c r="P175" s="55"/>
      <c r="Q175" s="53"/>
    </row>
    <row r="176" spans="1:17" ht="12.75">
      <c r="A176" s="15" t="s">
        <v>97</v>
      </c>
      <c r="B176" s="15"/>
      <c r="C176" s="84">
        <f>C177+C178</f>
        <v>629800</v>
      </c>
      <c r="D176" s="84">
        <f>D177+D178</f>
        <v>3000</v>
      </c>
      <c r="E176" s="84">
        <f>E177+E178</f>
        <v>6673</v>
      </c>
      <c r="F176" s="84">
        <f>F177+F178</f>
        <v>639473</v>
      </c>
      <c r="G176" s="84">
        <f>G177+G178</f>
        <v>20007.8</v>
      </c>
      <c r="H176" s="84"/>
      <c r="I176" s="84">
        <f>I177+I178</f>
        <v>659480.8</v>
      </c>
      <c r="J176" s="84"/>
      <c r="K176" s="84"/>
      <c r="L176" s="84">
        <f>L177+L178</f>
        <v>661640.7</v>
      </c>
      <c r="M176" s="84">
        <f>M177+M178</f>
        <v>358.8</v>
      </c>
      <c r="N176" s="84"/>
      <c r="O176" s="84">
        <f>O177+O178</f>
        <v>661999.5</v>
      </c>
      <c r="P176" s="55"/>
      <c r="Q176" s="53">
        <f t="shared" si="38"/>
        <v>661999.5</v>
      </c>
    </row>
    <row r="177" spans="1:17" ht="12.75">
      <c r="A177" s="15" t="s">
        <v>98</v>
      </c>
      <c r="B177" s="15"/>
      <c r="C177" s="84">
        <v>266800</v>
      </c>
      <c r="D177" s="84">
        <v>3000</v>
      </c>
      <c r="E177" s="84"/>
      <c r="F177" s="84">
        <f aca="true" t="shared" si="45" ref="F177:F185">C177+D177+E177</f>
        <v>269800</v>
      </c>
      <c r="G177" s="84">
        <f>20000+7.8</f>
        <v>20007.8</v>
      </c>
      <c r="H177" s="99"/>
      <c r="I177" s="84">
        <f aca="true" t="shared" si="46" ref="I177:I185">F177+G177+H177</f>
        <v>289807.8</v>
      </c>
      <c r="J177" s="84">
        <v>2159.9</v>
      </c>
      <c r="K177" s="84"/>
      <c r="L177" s="84">
        <f aca="true" t="shared" si="47" ref="L177:L185">I177+J177+K177</f>
        <v>291967.7</v>
      </c>
      <c r="M177" s="84">
        <v>358.8</v>
      </c>
      <c r="N177" s="84"/>
      <c r="O177" s="84">
        <f aca="true" t="shared" si="48" ref="O177:O185">L177+M177+N177</f>
        <v>292326.5</v>
      </c>
      <c r="P177" s="55"/>
      <c r="Q177" s="53">
        <f t="shared" si="38"/>
        <v>292326.5</v>
      </c>
    </row>
    <row r="178" spans="1:17" ht="12.75">
      <c r="A178" s="11" t="s">
        <v>99</v>
      </c>
      <c r="B178" s="11"/>
      <c r="C178" s="84">
        <v>363000</v>
      </c>
      <c r="D178" s="84"/>
      <c r="E178" s="84">
        <v>6673</v>
      </c>
      <c r="F178" s="84">
        <f t="shared" si="45"/>
        <v>369673</v>
      </c>
      <c r="G178" s="99"/>
      <c r="H178" s="99"/>
      <c r="I178" s="84">
        <f t="shared" si="46"/>
        <v>369673</v>
      </c>
      <c r="J178" s="84"/>
      <c r="K178" s="84"/>
      <c r="L178" s="84">
        <f t="shared" si="47"/>
        <v>369673</v>
      </c>
      <c r="M178" s="84"/>
      <c r="N178" s="84"/>
      <c r="O178" s="84">
        <f t="shared" si="48"/>
        <v>369673</v>
      </c>
      <c r="P178" s="55"/>
      <c r="Q178" s="53">
        <f t="shared" si="38"/>
        <v>369673</v>
      </c>
    </row>
    <row r="179" spans="1:17" ht="12.75">
      <c r="A179" s="15" t="s">
        <v>100</v>
      </c>
      <c r="B179" s="15"/>
      <c r="C179" s="84">
        <v>22000</v>
      </c>
      <c r="D179" s="84"/>
      <c r="E179" s="84"/>
      <c r="F179" s="84">
        <f t="shared" si="45"/>
        <v>22000</v>
      </c>
      <c r="G179" s="84"/>
      <c r="H179" s="84"/>
      <c r="I179" s="84">
        <f t="shared" si="46"/>
        <v>22000</v>
      </c>
      <c r="J179" s="84"/>
      <c r="K179" s="84"/>
      <c r="L179" s="84">
        <f t="shared" si="47"/>
        <v>22000</v>
      </c>
      <c r="M179" s="84"/>
      <c r="N179" s="84"/>
      <c r="O179" s="84">
        <f t="shared" si="48"/>
        <v>22000</v>
      </c>
      <c r="P179" s="55"/>
      <c r="Q179" s="53">
        <f t="shared" si="38"/>
        <v>22000</v>
      </c>
    </row>
    <row r="180" spans="1:17" ht="12.75">
      <c r="A180" s="11" t="s">
        <v>101</v>
      </c>
      <c r="B180" s="11"/>
      <c r="C180" s="84">
        <v>9410</v>
      </c>
      <c r="D180" s="84"/>
      <c r="E180" s="84"/>
      <c r="F180" s="84">
        <f t="shared" si="45"/>
        <v>9410</v>
      </c>
      <c r="G180" s="84"/>
      <c r="H180" s="84"/>
      <c r="I180" s="84">
        <f t="shared" si="46"/>
        <v>9410</v>
      </c>
      <c r="J180" s="84"/>
      <c r="K180" s="84"/>
      <c r="L180" s="84">
        <f t="shared" si="47"/>
        <v>9410</v>
      </c>
      <c r="M180" s="84"/>
      <c r="N180" s="84"/>
      <c r="O180" s="84">
        <f t="shared" si="48"/>
        <v>9410</v>
      </c>
      <c r="P180" s="55"/>
      <c r="Q180" s="53">
        <f t="shared" si="38"/>
        <v>9410</v>
      </c>
    </row>
    <row r="181" spans="1:17" ht="12.75" hidden="1">
      <c r="A181" s="11" t="s">
        <v>102</v>
      </c>
      <c r="B181" s="11"/>
      <c r="C181" s="84"/>
      <c r="D181" s="84"/>
      <c r="E181" s="84"/>
      <c r="F181" s="84">
        <f t="shared" si="45"/>
        <v>0</v>
      </c>
      <c r="G181" s="84"/>
      <c r="H181" s="84"/>
      <c r="I181" s="84">
        <f t="shared" si="46"/>
        <v>0</v>
      </c>
      <c r="J181" s="84"/>
      <c r="K181" s="84"/>
      <c r="L181" s="84">
        <f t="shared" si="47"/>
        <v>0</v>
      </c>
      <c r="M181" s="84"/>
      <c r="N181" s="84"/>
      <c r="O181" s="84">
        <f t="shared" si="48"/>
        <v>0</v>
      </c>
      <c r="P181" s="55"/>
      <c r="Q181" s="53">
        <f t="shared" si="38"/>
        <v>0</v>
      </c>
    </row>
    <row r="182" spans="1:17" ht="12.75">
      <c r="A182" s="11" t="s">
        <v>196</v>
      </c>
      <c r="B182" s="11">
        <v>27355</v>
      </c>
      <c r="C182" s="84"/>
      <c r="D182" s="84"/>
      <c r="E182" s="84"/>
      <c r="F182" s="84">
        <f t="shared" si="45"/>
        <v>0</v>
      </c>
      <c r="G182" s="84"/>
      <c r="H182" s="84"/>
      <c r="I182" s="84">
        <f t="shared" si="46"/>
        <v>0</v>
      </c>
      <c r="J182" s="84">
        <v>254603</v>
      </c>
      <c r="K182" s="84"/>
      <c r="L182" s="84">
        <f t="shared" si="47"/>
        <v>254603</v>
      </c>
      <c r="M182" s="84"/>
      <c r="N182" s="84"/>
      <c r="O182" s="84">
        <f t="shared" si="48"/>
        <v>254603</v>
      </c>
      <c r="P182" s="55"/>
      <c r="Q182" s="53">
        <f t="shared" si="38"/>
        <v>254603</v>
      </c>
    </row>
    <row r="183" spans="1:17" ht="12.75">
      <c r="A183" s="11" t="s">
        <v>368</v>
      </c>
      <c r="B183" s="11">
        <v>91252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>
        <f t="shared" si="47"/>
        <v>0</v>
      </c>
      <c r="M183" s="84">
        <v>65793</v>
      </c>
      <c r="N183" s="84"/>
      <c r="O183" s="84">
        <f t="shared" si="48"/>
        <v>65793</v>
      </c>
      <c r="P183" s="55"/>
      <c r="Q183" s="53"/>
    </row>
    <row r="184" spans="1:17" ht="12.75">
      <c r="A184" s="11" t="s">
        <v>72</v>
      </c>
      <c r="B184" s="11"/>
      <c r="C184" s="84">
        <v>433550</v>
      </c>
      <c r="D184" s="84"/>
      <c r="E184" s="84"/>
      <c r="F184" s="84">
        <f t="shared" si="45"/>
        <v>433550</v>
      </c>
      <c r="G184" s="84">
        <v>0.4</v>
      </c>
      <c r="H184" s="84"/>
      <c r="I184" s="84">
        <f t="shared" si="46"/>
        <v>433550.4</v>
      </c>
      <c r="J184" s="84"/>
      <c r="K184" s="84"/>
      <c r="L184" s="84">
        <f t="shared" si="47"/>
        <v>433550.4</v>
      </c>
      <c r="M184" s="84">
        <f>10198.6+130-346.1</f>
        <v>9982.5</v>
      </c>
      <c r="N184" s="84"/>
      <c r="O184" s="84">
        <f t="shared" si="48"/>
        <v>443532.9</v>
      </c>
      <c r="P184" s="55"/>
      <c r="Q184" s="53">
        <f t="shared" si="38"/>
        <v>443532.9</v>
      </c>
    </row>
    <row r="185" spans="1:17" ht="12" customHeight="1" hidden="1">
      <c r="A185" s="11" t="s">
        <v>103</v>
      </c>
      <c r="B185" s="11"/>
      <c r="C185" s="84"/>
      <c r="D185" s="84"/>
      <c r="E185" s="84"/>
      <c r="F185" s="99">
        <f t="shared" si="45"/>
        <v>0</v>
      </c>
      <c r="G185" s="84"/>
      <c r="H185" s="84"/>
      <c r="I185" s="84">
        <f t="shared" si="46"/>
        <v>0</v>
      </c>
      <c r="J185" s="84"/>
      <c r="K185" s="84"/>
      <c r="L185" s="84">
        <f t="shared" si="47"/>
        <v>0</v>
      </c>
      <c r="M185" s="84"/>
      <c r="N185" s="84"/>
      <c r="O185" s="84">
        <f t="shared" si="48"/>
        <v>0</v>
      </c>
      <c r="P185" s="55"/>
      <c r="Q185" s="53">
        <f t="shared" si="38"/>
        <v>0</v>
      </c>
    </row>
    <row r="186" spans="1:17" ht="12.75">
      <c r="A186" s="18" t="s">
        <v>75</v>
      </c>
      <c r="B186" s="18"/>
      <c r="C186" s="89">
        <f aca="true" t="shared" si="49" ref="C186:O186">SUM(C188:C193)</f>
        <v>14000</v>
      </c>
      <c r="D186" s="89">
        <f t="shared" si="49"/>
        <v>-14000</v>
      </c>
      <c r="E186" s="89">
        <f t="shared" si="49"/>
        <v>0</v>
      </c>
      <c r="F186" s="89">
        <f t="shared" si="49"/>
        <v>0</v>
      </c>
      <c r="G186" s="89">
        <f t="shared" si="49"/>
        <v>3300</v>
      </c>
      <c r="H186" s="89">
        <f t="shared" si="49"/>
        <v>0</v>
      </c>
      <c r="I186" s="89">
        <f t="shared" si="49"/>
        <v>3300</v>
      </c>
      <c r="J186" s="89">
        <f t="shared" si="49"/>
        <v>0</v>
      </c>
      <c r="K186" s="89">
        <f t="shared" si="49"/>
        <v>0</v>
      </c>
      <c r="L186" s="89">
        <f t="shared" si="49"/>
        <v>3300</v>
      </c>
      <c r="M186" s="89">
        <f t="shared" si="49"/>
        <v>0</v>
      </c>
      <c r="N186" s="89">
        <f t="shared" si="49"/>
        <v>0</v>
      </c>
      <c r="O186" s="89">
        <f t="shared" si="49"/>
        <v>3300</v>
      </c>
      <c r="P186" s="61"/>
      <c r="Q186" s="49">
        <f>SUM(Q188:Q193)</f>
        <v>3300</v>
      </c>
    </row>
    <row r="187" spans="1:17" ht="12.75">
      <c r="A187" s="9" t="s">
        <v>38</v>
      </c>
      <c r="B187" s="9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55"/>
      <c r="Q187" s="53"/>
    </row>
    <row r="188" spans="1:17" ht="12.75">
      <c r="A188" s="10" t="s">
        <v>76</v>
      </c>
      <c r="B188" s="10"/>
      <c r="C188" s="84">
        <v>14000</v>
      </c>
      <c r="D188" s="84">
        <v>-14000</v>
      </c>
      <c r="E188" s="84"/>
      <c r="F188" s="84">
        <f aca="true" t="shared" si="50" ref="F188:F193">C188+D188+E188</f>
        <v>0</v>
      </c>
      <c r="G188" s="84"/>
      <c r="H188" s="84"/>
      <c r="I188" s="84">
        <f aca="true" t="shared" si="51" ref="I188:I193">F188+G188+H188</f>
        <v>0</v>
      </c>
      <c r="J188" s="84"/>
      <c r="K188" s="84"/>
      <c r="L188" s="84">
        <f aca="true" t="shared" si="52" ref="L188:L193">I188+J188+K188</f>
        <v>0</v>
      </c>
      <c r="M188" s="84"/>
      <c r="N188" s="84"/>
      <c r="O188" s="84">
        <f aca="true" t="shared" si="53" ref="O188:O193">L188+M188+N188</f>
        <v>0</v>
      </c>
      <c r="P188" s="55"/>
      <c r="Q188" s="53">
        <f t="shared" si="38"/>
        <v>0</v>
      </c>
    </row>
    <row r="189" spans="1:17" ht="12.75">
      <c r="A189" s="14" t="s">
        <v>322</v>
      </c>
      <c r="B189" s="14"/>
      <c r="C189" s="88"/>
      <c r="D189" s="88"/>
      <c r="E189" s="88"/>
      <c r="F189" s="88">
        <f t="shared" si="50"/>
        <v>0</v>
      </c>
      <c r="G189" s="88">
        <v>3300</v>
      </c>
      <c r="H189" s="88"/>
      <c r="I189" s="88">
        <f t="shared" si="51"/>
        <v>3300</v>
      </c>
      <c r="J189" s="88"/>
      <c r="K189" s="88"/>
      <c r="L189" s="88">
        <f t="shared" si="52"/>
        <v>3300</v>
      </c>
      <c r="M189" s="88"/>
      <c r="N189" s="88"/>
      <c r="O189" s="88">
        <f t="shared" si="53"/>
        <v>3300</v>
      </c>
      <c r="P189" s="55"/>
      <c r="Q189" s="53">
        <f t="shared" si="38"/>
        <v>3300</v>
      </c>
    </row>
    <row r="190" spans="1:17" ht="12.75" hidden="1">
      <c r="A190" s="11" t="s">
        <v>105</v>
      </c>
      <c r="B190" s="11"/>
      <c r="C190" s="84"/>
      <c r="D190" s="84"/>
      <c r="E190" s="84"/>
      <c r="F190" s="84">
        <f t="shared" si="50"/>
        <v>0</v>
      </c>
      <c r="G190" s="84"/>
      <c r="H190" s="84"/>
      <c r="I190" s="84">
        <f t="shared" si="51"/>
        <v>0</v>
      </c>
      <c r="J190" s="84"/>
      <c r="K190" s="84"/>
      <c r="L190" s="84">
        <f t="shared" si="52"/>
        <v>0</v>
      </c>
      <c r="M190" s="84"/>
      <c r="N190" s="84"/>
      <c r="O190" s="84">
        <f t="shared" si="53"/>
        <v>0</v>
      </c>
      <c r="P190" s="55"/>
      <c r="Q190" s="53">
        <f t="shared" si="38"/>
        <v>0</v>
      </c>
    </row>
    <row r="191" spans="1:17" ht="12.75" hidden="1">
      <c r="A191" s="11" t="s">
        <v>208</v>
      </c>
      <c r="B191" s="11"/>
      <c r="C191" s="84"/>
      <c r="D191" s="84"/>
      <c r="E191" s="84"/>
      <c r="F191" s="84">
        <f t="shared" si="50"/>
        <v>0</v>
      </c>
      <c r="G191" s="84"/>
      <c r="H191" s="84"/>
      <c r="I191" s="84">
        <f t="shared" si="51"/>
        <v>0</v>
      </c>
      <c r="J191" s="84"/>
      <c r="K191" s="84"/>
      <c r="L191" s="84">
        <f t="shared" si="52"/>
        <v>0</v>
      </c>
      <c r="M191" s="84"/>
      <c r="N191" s="84"/>
      <c r="O191" s="84">
        <f t="shared" si="53"/>
        <v>0</v>
      </c>
      <c r="P191" s="55"/>
      <c r="Q191" s="53">
        <f t="shared" si="38"/>
        <v>0</v>
      </c>
    </row>
    <row r="192" spans="1:17" ht="12.75" hidden="1">
      <c r="A192" s="11" t="s">
        <v>106</v>
      </c>
      <c r="B192" s="11"/>
      <c r="C192" s="84"/>
      <c r="D192" s="84"/>
      <c r="E192" s="84"/>
      <c r="F192" s="84">
        <f t="shared" si="50"/>
        <v>0</v>
      </c>
      <c r="G192" s="84"/>
      <c r="H192" s="84"/>
      <c r="I192" s="84">
        <f t="shared" si="51"/>
        <v>0</v>
      </c>
      <c r="J192" s="84"/>
      <c r="K192" s="84"/>
      <c r="L192" s="84">
        <f t="shared" si="52"/>
        <v>0</v>
      </c>
      <c r="M192" s="91"/>
      <c r="N192" s="84"/>
      <c r="O192" s="84">
        <f t="shared" si="53"/>
        <v>0</v>
      </c>
      <c r="P192" s="55"/>
      <c r="Q192" s="53">
        <f t="shared" si="38"/>
        <v>0</v>
      </c>
    </row>
    <row r="193" spans="1:17" ht="12.75" hidden="1">
      <c r="A193" s="14" t="s">
        <v>102</v>
      </c>
      <c r="B193" s="14"/>
      <c r="C193" s="88"/>
      <c r="D193" s="88"/>
      <c r="E193" s="88"/>
      <c r="F193" s="88">
        <f t="shared" si="50"/>
        <v>0</v>
      </c>
      <c r="G193" s="88"/>
      <c r="H193" s="88"/>
      <c r="I193" s="88">
        <f t="shared" si="51"/>
        <v>0</v>
      </c>
      <c r="J193" s="88"/>
      <c r="K193" s="88"/>
      <c r="L193" s="88">
        <f t="shared" si="52"/>
        <v>0</v>
      </c>
      <c r="M193" s="88"/>
      <c r="N193" s="88"/>
      <c r="O193" s="88">
        <f t="shared" si="53"/>
        <v>0</v>
      </c>
      <c r="P193" s="55"/>
      <c r="Q193" s="53">
        <f t="shared" si="38"/>
        <v>0</v>
      </c>
    </row>
    <row r="194" spans="1:17" ht="12.75">
      <c r="A194" s="8" t="s">
        <v>107</v>
      </c>
      <c r="B194" s="8"/>
      <c r="C194" s="83">
        <f aca="true" t="shared" si="54" ref="C194:O194">C195+C201</f>
        <v>4280</v>
      </c>
      <c r="D194" s="83">
        <f t="shared" si="54"/>
        <v>0</v>
      </c>
      <c r="E194" s="83">
        <f t="shared" si="54"/>
        <v>4089.6</v>
      </c>
      <c r="F194" s="83">
        <f t="shared" si="54"/>
        <v>8369.6</v>
      </c>
      <c r="G194" s="83">
        <f t="shared" si="54"/>
        <v>0</v>
      </c>
      <c r="H194" s="83">
        <f t="shared" si="54"/>
        <v>0</v>
      </c>
      <c r="I194" s="83">
        <f t="shared" si="54"/>
        <v>8369.6</v>
      </c>
      <c r="J194" s="83">
        <f t="shared" si="54"/>
        <v>1224.4</v>
      </c>
      <c r="K194" s="83">
        <f t="shared" si="54"/>
        <v>0</v>
      </c>
      <c r="L194" s="83">
        <f t="shared" si="54"/>
        <v>9594</v>
      </c>
      <c r="M194" s="83">
        <f t="shared" si="54"/>
        <v>2420</v>
      </c>
      <c r="N194" s="83">
        <f t="shared" si="54"/>
        <v>0</v>
      </c>
      <c r="O194" s="83">
        <f t="shared" si="54"/>
        <v>12014</v>
      </c>
      <c r="P194" s="56"/>
      <c r="Q194" s="38">
        <f>Q195+Q201</f>
        <v>11664</v>
      </c>
    </row>
    <row r="195" spans="1:17" ht="12.75">
      <c r="A195" s="17" t="s">
        <v>69</v>
      </c>
      <c r="B195" s="17"/>
      <c r="C195" s="87">
        <f aca="true" t="shared" si="55" ref="C195:O195">SUM(C197:C200)</f>
        <v>4280</v>
      </c>
      <c r="D195" s="87">
        <f t="shared" si="55"/>
        <v>0</v>
      </c>
      <c r="E195" s="87">
        <f t="shared" si="55"/>
        <v>3237.6</v>
      </c>
      <c r="F195" s="87">
        <f t="shared" si="55"/>
        <v>7517.6</v>
      </c>
      <c r="G195" s="87">
        <f t="shared" si="55"/>
        <v>0</v>
      </c>
      <c r="H195" s="87">
        <f t="shared" si="55"/>
        <v>0</v>
      </c>
      <c r="I195" s="87">
        <f t="shared" si="55"/>
        <v>7517.6</v>
      </c>
      <c r="J195" s="87">
        <f t="shared" si="55"/>
        <v>874.4</v>
      </c>
      <c r="K195" s="87">
        <f t="shared" si="55"/>
        <v>0</v>
      </c>
      <c r="L195" s="87">
        <f t="shared" si="55"/>
        <v>8392</v>
      </c>
      <c r="M195" s="87">
        <f t="shared" si="55"/>
        <v>1628</v>
      </c>
      <c r="N195" s="87">
        <f t="shared" si="55"/>
        <v>0</v>
      </c>
      <c r="O195" s="87">
        <f t="shared" si="55"/>
        <v>10020</v>
      </c>
      <c r="P195" s="60"/>
      <c r="Q195" s="39">
        <f>SUM(Q197:Q200)</f>
        <v>10020</v>
      </c>
    </row>
    <row r="196" spans="1:17" ht="12.75">
      <c r="A196" s="13" t="s">
        <v>38</v>
      </c>
      <c r="B196" s="13"/>
      <c r="C196" s="84"/>
      <c r="D196" s="84"/>
      <c r="E196" s="84"/>
      <c r="F196" s="83"/>
      <c r="G196" s="84"/>
      <c r="H196" s="84"/>
      <c r="I196" s="83"/>
      <c r="J196" s="84"/>
      <c r="K196" s="84"/>
      <c r="L196" s="83"/>
      <c r="M196" s="84"/>
      <c r="N196" s="84"/>
      <c r="O196" s="83"/>
      <c r="P196" s="55"/>
      <c r="Q196" s="53"/>
    </row>
    <row r="197" spans="1:17" ht="12.75">
      <c r="A197" s="11" t="s">
        <v>72</v>
      </c>
      <c r="B197" s="11"/>
      <c r="C197" s="84">
        <v>4280</v>
      </c>
      <c r="D197" s="84"/>
      <c r="E197" s="84"/>
      <c r="F197" s="84">
        <f>C197+D197+E197</f>
        <v>4280</v>
      </c>
      <c r="G197" s="84"/>
      <c r="H197" s="84"/>
      <c r="I197" s="84">
        <f>F197+G197+H197</f>
        <v>4280</v>
      </c>
      <c r="J197" s="84">
        <f>600+74.4</f>
        <v>674.4</v>
      </c>
      <c r="K197" s="84"/>
      <c r="L197" s="84">
        <f>I197+J197+K197</f>
        <v>4954.4</v>
      </c>
      <c r="M197" s="84">
        <f>-6-200+120</f>
        <v>-86</v>
      </c>
      <c r="N197" s="84"/>
      <c r="O197" s="84">
        <f>L197+M197+N197</f>
        <v>4868.4</v>
      </c>
      <c r="P197" s="55"/>
      <c r="Q197" s="53">
        <f t="shared" si="38"/>
        <v>4868.4</v>
      </c>
    </row>
    <row r="198" spans="1:17" ht="12.75" hidden="1">
      <c r="A198" s="15" t="s">
        <v>100</v>
      </c>
      <c r="B198" s="11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>
        <f>L198+M198+N198</f>
        <v>0</v>
      </c>
      <c r="P198" s="55"/>
      <c r="Q198" s="53"/>
    </row>
    <row r="199" spans="1:17" ht="12.75">
      <c r="A199" s="11" t="s">
        <v>87</v>
      </c>
      <c r="B199" s="11"/>
      <c r="C199" s="84"/>
      <c r="D199" s="84"/>
      <c r="E199" s="84"/>
      <c r="F199" s="84">
        <f>C199+D199+E199</f>
        <v>0</v>
      </c>
      <c r="G199" s="84"/>
      <c r="H199" s="84"/>
      <c r="I199" s="84"/>
      <c r="J199" s="84">
        <v>200</v>
      </c>
      <c r="K199" s="84"/>
      <c r="L199" s="84">
        <f>I199+J199+K199</f>
        <v>200</v>
      </c>
      <c r="M199" s="84"/>
      <c r="N199" s="84"/>
      <c r="O199" s="84">
        <f>L199+M199+N199</f>
        <v>200</v>
      </c>
      <c r="P199" s="55"/>
      <c r="Q199" s="53">
        <f t="shared" si="38"/>
        <v>200</v>
      </c>
    </row>
    <row r="200" spans="1:17" ht="14.25" customHeight="1">
      <c r="A200" s="11" t="s">
        <v>104</v>
      </c>
      <c r="B200" s="11"/>
      <c r="C200" s="84"/>
      <c r="D200" s="84"/>
      <c r="E200" s="84">
        <v>3237.6</v>
      </c>
      <c r="F200" s="84">
        <f>C200+D200+E200</f>
        <v>3237.6</v>
      </c>
      <c r="G200" s="84"/>
      <c r="H200" s="84"/>
      <c r="I200" s="84">
        <f>F200+G200+H200</f>
        <v>3237.6</v>
      </c>
      <c r="J200" s="84"/>
      <c r="K200" s="84"/>
      <c r="L200" s="84">
        <f>I200+J200+K200</f>
        <v>3237.6</v>
      </c>
      <c r="M200" s="84">
        <f>1708+6</f>
        <v>1714</v>
      </c>
      <c r="N200" s="84"/>
      <c r="O200" s="84">
        <f>L200+M200+N200</f>
        <v>4951.6</v>
      </c>
      <c r="P200" s="68"/>
      <c r="Q200" s="69">
        <f t="shared" si="38"/>
        <v>4951.6</v>
      </c>
    </row>
    <row r="201" spans="1:17" ht="12.75">
      <c r="A201" s="18" t="s">
        <v>75</v>
      </c>
      <c r="B201" s="18"/>
      <c r="C201" s="89">
        <f>C204+C203</f>
        <v>0</v>
      </c>
      <c r="D201" s="89">
        <f aca="true" t="shared" si="56" ref="D201:O201">D204+D203</f>
        <v>0</v>
      </c>
      <c r="E201" s="89">
        <f t="shared" si="56"/>
        <v>852</v>
      </c>
      <c r="F201" s="89">
        <f t="shared" si="56"/>
        <v>852</v>
      </c>
      <c r="G201" s="89">
        <f t="shared" si="56"/>
        <v>0</v>
      </c>
      <c r="H201" s="89">
        <f t="shared" si="56"/>
        <v>0</v>
      </c>
      <c r="I201" s="89">
        <f t="shared" si="56"/>
        <v>852</v>
      </c>
      <c r="J201" s="89">
        <f t="shared" si="56"/>
        <v>350</v>
      </c>
      <c r="K201" s="89">
        <f t="shared" si="56"/>
        <v>0</v>
      </c>
      <c r="L201" s="89">
        <f t="shared" si="56"/>
        <v>1202</v>
      </c>
      <c r="M201" s="89">
        <f t="shared" si="56"/>
        <v>792</v>
      </c>
      <c r="N201" s="89">
        <f t="shared" si="56"/>
        <v>0</v>
      </c>
      <c r="O201" s="89">
        <f t="shared" si="56"/>
        <v>1994</v>
      </c>
      <c r="P201" s="58"/>
      <c r="Q201" s="7">
        <f>Q204</f>
        <v>1644</v>
      </c>
    </row>
    <row r="202" spans="1:17" ht="12.75">
      <c r="A202" s="9" t="s">
        <v>38</v>
      </c>
      <c r="B202" s="9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55"/>
      <c r="Q202" s="53"/>
    </row>
    <row r="203" spans="1:17" ht="12.75">
      <c r="A203" s="10" t="s">
        <v>76</v>
      </c>
      <c r="B203" s="9"/>
      <c r="C203" s="84"/>
      <c r="D203" s="84"/>
      <c r="E203" s="84"/>
      <c r="F203" s="84"/>
      <c r="G203" s="84"/>
      <c r="H203" s="84"/>
      <c r="I203" s="84"/>
      <c r="J203" s="84">
        <v>350</v>
      </c>
      <c r="K203" s="84"/>
      <c r="L203" s="84">
        <f>I203+J203+K203</f>
        <v>350</v>
      </c>
      <c r="M203" s="84"/>
      <c r="N203" s="84"/>
      <c r="O203" s="84">
        <f>L203+M203+N203</f>
        <v>350</v>
      </c>
      <c r="P203" s="55"/>
      <c r="Q203" s="53"/>
    </row>
    <row r="204" spans="1:17" ht="12.75">
      <c r="A204" s="21" t="s">
        <v>104</v>
      </c>
      <c r="B204" s="21"/>
      <c r="C204" s="88"/>
      <c r="D204" s="88"/>
      <c r="E204" s="88">
        <v>852</v>
      </c>
      <c r="F204" s="88">
        <f>C204+D204+E204</f>
        <v>852</v>
      </c>
      <c r="G204" s="88"/>
      <c r="H204" s="88"/>
      <c r="I204" s="88">
        <f>F204+G204+H204</f>
        <v>852</v>
      </c>
      <c r="J204" s="88"/>
      <c r="K204" s="88"/>
      <c r="L204" s="88">
        <f>I204+J204+K204</f>
        <v>852</v>
      </c>
      <c r="M204" s="88">
        <v>792</v>
      </c>
      <c r="N204" s="88"/>
      <c r="O204" s="88">
        <f>L204+M204+N204</f>
        <v>1644</v>
      </c>
      <c r="P204" s="68"/>
      <c r="Q204" s="69">
        <f t="shared" si="38"/>
        <v>1644</v>
      </c>
    </row>
    <row r="205" spans="1:17" ht="12.75">
      <c r="A205" s="12" t="s">
        <v>108</v>
      </c>
      <c r="B205" s="12"/>
      <c r="C205" s="85">
        <f aca="true" t="shared" si="57" ref="C205:O205">C206+C212</f>
        <v>26780</v>
      </c>
      <c r="D205" s="85">
        <f t="shared" si="57"/>
        <v>9367</v>
      </c>
      <c r="E205" s="85">
        <f t="shared" si="57"/>
        <v>0</v>
      </c>
      <c r="F205" s="85">
        <f t="shared" si="57"/>
        <v>36147</v>
      </c>
      <c r="G205" s="85">
        <f t="shared" si="57"/>
        <v>1359</v>
      </c>
      <c r="H205" s="85">
        <f t="shared" si="57"/>
        <v>0</v>
      </c>
      <c r="I205" s="85">
        <f t="shared" si="57"/>
        <v>37506</v>
      </c>
      <c r="J205" s="85">
        <f t="shared" si="57"/>
        <v>1460.4</v>
      </c>
      <c r="K205" s="85">
        <f t="shared" si="57"/>
        <v>0</v>
      </c>
      <c r="L205" s="85">
        <f t="shared" si="57"/>
        <v>38966.4</v>
      </c>
      <c r="M205" s="85">
        <f t="shared" si="57"/>
        <v>0</v>
      </c>
      <c r="N205" s="85">
        <f t="shared" si="57"/>
        <v>0</v>
      </c>
      <c r="O205" s="85">
        <f t="shared" si="57"/>
        <v>38966.4</v>
      </c>
      <c r="P205" s="58"/>
      <c r="Q205" s="7">
        <f>Q206+Q212</f>
        <v>34129.8</v>
      </c>
    </row>
    <row r="206" spans="1:17" ht="12.75">
      <c r="A206" s="17" t="s">
        <v>69</v>
      </c>
      <c r="B206" s="17"/>
      <c r="C206" s="87">
        <f aca="true" t="shared" si="58" ref="C206:O206">SUM(C208:C211)</f>
        <v>24580</v>
      </c>
      <c r="D206" s="87">
        <f t="shared" si="58"/>
        <v>4836.6</v>
      </c>
      <c r="E206" s="87">
        <f t="shared" si="58"/>
        <v>0</v>
      </c>
      <c r="F206" s="87">
        <f t="shared" si="58"/>
        <v>29416.6</v>
      </c>
      <c r="G206" s="87">
        <f t="shared" si="58"/>
        <v>351</v>
      </c>
      <c r="H206" s="87">
        <f t="shared" si="58"/>
        <v>0</v>
      </c>
      <c r="I206" s="87">
        <f t="shared" si="58"/>
        <v>29767.6</v>
      </c>
      <c r="J206" s="87">
        <f t="shared" si="58"/>
        <v>1460.4</v>
      </c>
      <c r="K206" s="87">
        <f t="shared" si="58"/>
        <v>0</v>
      </c>
      <c r="L206" s="87">
        <f t="shared" si="58"/>
        <v>31228</v>
      </c>
      <c r="M206" s="87">
        <f t="shared" si="58"/>
        <v>-150</v>
      </c>
      <c r="N206" s="87">
        <f t="shared" si="58"/>
        <v>0</v>
      </c>
      <c r="O206" s="87">
        <f t="shared" si="58"/>
        <v>31078</v>
      </c>
      <c r="P206" s="60"/>
      <c r="Q206" s="39">
        <f>SUM(Q208:Q211)</f>
        <v>26241.4</v>
      </c>
    </row>
    <row r="207" spans="1:17" ht="12.75">
      <c r="A207" s="13" t="s">
        <v>38</v>
      </c>
      <c r="B207" s="13"/>
      <c r="C207" s="84"/>
      <c r="D207" s="84"/>
      <c r="E207" s="84"/>
      <c r="F207" s="83"/>
      <c r="G207" s="84"/>
      <c r="H207" s="84"/>
      <c r="I207" s="83"/>
      <c r="J207" s="84"/>
      <c r="K207" s="84"/>
      <c r="L207" s="83"/>
      <c r="M207" s="84"/>
      <c r="N207" s="84"/>
      <c r="O207" s="83"/>
      <c r="P207" s="55"/>
      <c r="Q207" s="53"/>
    </row>
    <row r="208" spans="1:17" ht="12.75">
      <c r="A208" s="11" t="s">
        <v>72</v>
      </c>
      <c r="B208" s="11"/>
      <c r="C208" s="84">
        <v>4580</v>
      </c>
      <c r="D208" s="84"/>
      <c r="E208" s="84"/>
      <c r="F208" s="84">
        <f>C208+D208+E208</f>
        <v>4580</v>
      </c>
      <c r="G208" s="84"/>
      <c r="H208" s="84"/>
      <c r="I208" s="84">
        <f>F208+G208+H208</f>
        <v>4580</v>
      </c>
      <c r="J208" s="84">
        <f>960.4+500</f>
        <v>1460.4</v>
      </c>
      <c r="K208" s="84"/>
      <c r="L208" s="84">
        <f>I208+J208+K208</f>
        <v>6040.4</v>
      </c>
      <c r="M208" s="84">
        <v>300</v>
      </c>
      <c r="N208" s="84"/>
      <c r="O208" s="84">
        <f>L208+M208+N208</f>
        <v>6340.4</v>
      </c>
      <c r="P208" s="55"/>
      <c r="Q208" s="53">
        <f t="shared" si="38"/>
        <v>6340.4</v>
      </c>
    </row>
    <row r="209" spans="1:17" ht="12.75">
      <c r="A209" s="11" t="s">
        <v>104</v>
      </c>
      <c r="B209" s="11" t="s">
        <v>379</v>
      </c>
      <c r="C209" s="84"/>
      <c r="D209" s="84"/>
      <c r="E209" s="84"/>
      <c r="F209" s="84">
        <f>C209+D209+E209</f>
        <v>0</v>
      </c>
      <c r="G209" s="84">
        <v>351</v>
      </c>
      <c r="H209" s="84"/>
      <c r="I209" s="84">
        <f>F209+G209+H209</f>
        <v>351</v>
      </c>
      <c r="J209" s="84"/>
      <c r="K209" s="84"/>
      <c r="L209" s="84">
        <f>I209+J209+K209</f>
        <v>351</v>
      </c>
      <c r="M209" s="84"/>
      <c r="N209" s="84"/>
      <c r="O209" s="84">
        <f>L209+M209+N209</f>
        <v>351</v>
      </c>
      <c r="P209" s="55"/>
      <c r="Q209" s="53">
        <f t="shared" si="38"/>
        <v>351</v>
      </c>
    </row>
    <row r="210" spans="1:17" ht="12.75">
      <c r="A210" s="11" t="s">
        <v>268</v>
      </c>
      <c r="B210" s="11" t="s">
        <v>378</v>
      </c>
      <c r="C210" s="84"/>
      <c r="D210" s="84">
        <v>4836.6</v>
      </c>
      <c r="E210" s="84"/>
      <c r="F210" s="84">
        <f>C210+D210+E210</f>
        <v>4836.6</v>
      </c>
      <c r="G210" s="84"/>
      <c r="H210" s="84"/>
      <c r="I210" s="84">
        <f>F210+G210+H210</f>
        <v>4836.6</v>
      </c>
      <c r="J210" s="84"/>
      <c r="K210" s="84"/>
      <c r="L210" s="84">
        <f>I210+J210+K210</f>
        <v>4836.6</v>
      </c>
      <c r="M210" s="84"/>
      <c r="N210" s="84"/>
      <c r="O210" s="84">
        <f>L210+M210+N210</f>
        <v>4836.6</v>
      </c>
      <c r="P210" s="55"/>
      <c r="Q210" s="53"/>
    </row>
    <row r="211" spans="1:17" ht="12.75">
      <c r="A211" s="11" t="s">
        <v>109</v>
      </c>
      <c r="B211" s="11"/>
      <c r="C211" s="84">
        <v>20000</v>
      </c>
      <c r="D211" s="84"/>
      <c r="E211" s="84"/>
      <c r="F211" s="84">
        <f>C211+D211+E211</f>
        <v>20000</v>
      </c>
      <c r="G211" s="84"/>
      <c r="H211" s="84"/>
      <c r="I211" s="84">
        <f>F211+G211+H211</f>
        <v>20000</v>
      </c>
      <c r="J211" s="84"/>
      <c r="K211" s="84"/>
      <c r="L211" s="84">
        <f>I211+J211+K211</f>
        <v>20000</v>
      </c>
      <c r="M211" s="84">
        <v>-450</v>
      </c>
      <c r="N211" s="84"/>
      <c r="O211" s="84">
        <f>L211+M211+N211</f>
        <v>19550</v>
      </c>
      <c r="P211" s="55"/>
      <c r="Q211" s="53">
        <f aca="true" t="shared" si="59" ref="Q211:Q270">O211+P211</f>
        <v>19550</v>
      </c>
    </row>
    <row r="212" spans="1:17" ht="12.75">
      <c r="A212" s="18" t="s">
        <v>75</v>
      </c>
      <c r="B212" s="18"/>
      <c r="C212" s="89">
        <f>C216+C214+C215</f>
        <v>2200</v>
      </c>
      <c r="D212" s="89">
        <f aca="true" t="shared" si="60" ref="D212:O212">D216+D214</f>
        <v>4530.4</v>
      </c>
      <c r="E212" s="89">
        <f t="shared" si="60"/>
        <v>0</v>
      </c>
      <c r="F212" s="89">
        <f t="shared" si="60"/>
        <v>6730.4</v>
      </c>
      <c r="G212" s="89">
        <f t="shared" si="60"/>
        <v>1008</v>
      </c>
      <c r="H212" s="89">
        <f t="shared" si="60"/>
        <v>0</v>
      </c>
      <c r="I212" s="89">
        <f t="shared" si="60"/>
        <v>7738.4</v>
      </c>
      <c r="J212" s="89">
        <f t="shared" si="60"/>
        <v>0</v>
      </c>
      <c r="K212" s="89">
        <f t="shared" si="60"/>
        <v>0</v>
      </c>
      <c r="L212" s="89">
        <f t="shared" si="60"/>
        <v>7738.4</v>
      </c>
      <c r="M212" s="89">
        <f t="shared" si="60"/>
        <v>150</v>
      </c>
      <c r="N212" s="89">
        <f t="shared" si="60"/>
        <v>0</v>
      </c>
      <c r="O212" s="89">
        <f t="shared" si="60"/>
        <v>7888.4</v>
      </c>
      <c r="P212" s="61"/>
      <c r="Q212" s="49">
        <f>Q216+Q214+Q215</f>
        <v>7888.4</v>
      </c>
    </row>
    <row r="213" spans="1:17" ht="12.75">
      <c r="A213" s="9" t="s">
        <v>38</v>
      </c>
      <c r="B213" s="9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55"/>
      <c r="Q213" s="53"/>
    </row>
    <row r="214" spans="1:17" ht="12.75">
      <c r="A214" s="11" t="s">
        <v>269</v>
      </c>
      <c r="B214" s="11"/>
      <c r="C214" s="84"/>
      <c r="D214" s="84">
        <v>4530.4</v>
      </c>
      <c r="E214" s="85"/>
      <c r="F214" s="84">
        <f>C214+D214+E214</f>
        <v>4530.4</v>
      </c>
      <c r="G214" s="84">
        <v>1008</v>
      </c>
      <c r="H214" s="85"/>
      <c r="I214" s="84">
        <f>F214+G214+H214</f>
        <v>5538.4</v>
      </c>
      <c r="J214" s="85"/>
      <c r="K214" s="85"/>
      <c r="L214" s="84">
        <f>I214+J214+K214</f>
        <v>5538.4</v>
      </c>
      <c r="M214" s="85"/>
      <c r="N214" s="85"/>
      <c r="O214" s="84">
        <f>L214+M214+N214</f>
        <v>5538.4</v>
      </c>
      <c r="P214" s="55"/>
      <c r="Q214" s="53">
        <f t="shared" si="59"/>
        <v>5538.4</v>
      </c>
    </row>
    <row r="215" spans="1:17" ht="12.75" hidden="1">
      <c r="A215" s="11" t="s">
        <v>251</v>
      </c>
      <c r="B215" s="11">
        <v>98861</v>
      </c>
      <c r="C215" s="84"/>
      <c r="D215" s="84"/>
      <c r="E215" s="85"/>
      <c r="F215" s="84">
        <f>C215+D215+E215</f>
        <v>0</v>
      </c>
      <c r="G215" s="85"/>
      <c r="H215" s="85"/>
      <c r="I215" s="84"/>
      <c r="J215" s="85"/>
      <c r="K215" s="85"/>
      <c r="L215" s="84"/>
      <c r="M215" s="85"/>
      <c r="N215" s="85"/>
      <c r="O215" s="84">
        <f>L215+M215+N215</f>
        <v>0</v>
      </c>
      <c r="P215" s="55"/>
      <c r="Q215" s="53">
        <f t="shared" si="59"/>
        <v>0</v>
      </c>
    </row>
    <row r="216" spans="1:17" ht="12.75">
      <c r="A216" s="22" t="s">
        <v>76</v>
      </c>
      <c r="B216" s="22"/>
      <c r="C216" s="88">
        <v>2200</v>
      </c>
      <c r="D216" s="88"/>
      <c r="E216" s="88"/>
      <c r="F216" s="88">
        <f>C216+D216+E216</f>
        <v>2200</v>
      </c>
      <c r="G216" s="88"/>
      <c r="H216" s="88"/>
      <c r="I216" s="88">
        <f>F216+G216+H216</f>
        <v>2200</v>
      </c>
      <c r="J216" s="88"/>
      <c r="K216" s="88"/>
      <c r="L216" s="88">
        <f>I216+J216+K216</f>
        <v>2200</v>
      </c>
      <c r="M216" s="88">
        <v>150</v>
      </c>
      <c r="N216" s="88"/>
      <c r="O216" s="88">
        <f>L216+M216+N216</f>
        <v>2350</v>
      </c>
      <c r="P216" s="68"/>
      <c r="Q216" s="69">
        <f t="shared" si="59"/>
        <v>2350</v>
      </c>
    </row>
    <row r="217" spans="1:17" ht="12.75">
      <c r="A217" s="8" t="s">
        <v>265</v>
      </c>
      <c r="B217" s="8"/>
      <c r="C217" s="83">
        <f aca="true" t="shared" si="61" ref="C217:O217">C218+C254</f>
        <v>10800</v>
      </c>
      <c r="D217" s="83">
        <f t="shared" si="61"/>
        <v>-7190</v>
      </c>
      <c r="E217" s="83">
        <f t="shared" si="61"/>
        <v>99890.79999999997</v>
      </c>
      <c r="F217" s="83">
        <f t="shared" si="61"/>
        <v>103500.79999999997</v>
      </c>
      <c r="G217" s="83">
        <f t="shared" si="61"/>
        <v>38488.4</v>
      </c>
      <c r="H217" s="83">
        <f t="shared" si="61"/>
        <v>0</v>
      </c>
      <c r="I217" s="83">
        <f t="shared" si="61"/>
        <v>141989.19999999998</v>
      </c>
      <c r="J217" s="83">
        <f t="shared" si="61"/>
        <v>33622.600000000006</v>
      </c>
      <c r="K217" s="83">
        <f t="shared" si="61"/>
        <v>0</v>
      </c>
      <c r="L217" s="83">
        <f t="shared" si="61"/>
        <v>175611.79999999996</v>
      </c>
      <c r="M217" s="83">
        <f t="shared" si="61"/>
        <v>29594.399999999998</v>
      </c>
      <c r="N217" s="83">
        <f t="shared" si="61"/>
        <v>0</v>
      </c>
      <c r="O217" s="83">
        <f t="shared" si="61"/>
        <v>205206.19999999998</v>
      </c>
      <c r="P217" s="56"/>
      <c r="Q217" s="38" t="e">
        <f>Q218+Q254</f>
        <v>#REF!</v>
      </c>
    </row>
    <row r="218" spans="1:17" ht="12.75">
      <c r="A218" s="17" t="s">
        <v>69</v>
      </c>
      <c r="B218" s="17"/>
      <c r="C218" s="87">
        <f aca="true" t="shared" si="62" ref="C218:O218">SUM(C220:C253)</f>
        <v>10800</v>
      </c>
      <c r="D218" s="87">
        <f t="shared" si="62"/>
        <v>-7190</v>
      </c>
      <c r="E218" s="87">
        <f t="shared" si="62"/>
        <v>92472.49999999997</v>
      </c>
      <c r="F218" s="87">
        <f t="shared" si="62"/>
        <v>96082.49999999997</v>
      </c>
      <c r="G218" s="87">
        <f t="shared" si="62"/>
        <v>38462.3</v>
      </c>
      <c r="H218" s="87">
        <f t="shared" si="62"/>
        <v>0</v>
      </c>
      <c r="I218" s="87">
        <f t="shared" si="62"/>
        <v>134544.8</v>
      </c>
      <c r="J218" s="87">
        <f t="shared" si="62"/>
        <v>33617.700000000004</v>
      </c>
      <c r="K218" s="87">
        <f t="shared" si="62"/>
        <v>0</v>
      </c>
      <c r="L218" s="87">
        <f t="shared" si="62"/>
        <v>168162.49999999997</v>
      </c>
      <c r="M218" s="87">
        <f t="shared" si="62"/>
        <v>29161.199999999997</v>
      </c>
      <c r="N218" s="87">
        <f t="shared" si="62"/>
        <v>0</v>
      </c>
      <c r="O218" s="87">
        <f t="shared" si="62"/>
        <v>197323.69999999998</v>
      </c>
      <c r="P218" s="60"/>
      <c r="Q218" s="39" t="e">
        <f>SUM(Q220:Q252)+#REF!</f>
        <v>#REF!</v>
      </c>
    </row>
    <row r="219" spans="1:17" ht="12.75">
      <c r="A219" s="9" t="s">
        <v>38</v>
      </c>
      <c r="B219" s="9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55"/>
      <c r="Q219" s="53"/>
    </row>
    <row r="220" spans="1:17" ht="12.75">
      <c r="A220" s="11" t="s">
        <v>72</v>
      </c>
      <c r="B220" s="11"/>
      <c r="C220" s="84">
        <v>3410</v>
      </c>
      <c r="D220" s="84">
        <v>-600</v>
      </c>
      <c r="E220" s="84">
        <f>323.2+9.3+35.1+33.9+1291.1</f>
        <v>1692.6</v>
      </c>
      <c r="F220" s="84">
        <f>C220+D220+E220</f>
        <v>4502.6</v>
      </c>
      <c r="G220" s="84">
        <f>64.2+4.1</f>
        <v>68.3</v>
      </c>
      <c r="H220" s="84"/>
      <c r="I220" s="84">
        <f>F220+G220+H220</f>
        <v>4570.900000000001</v>
      </c>
      <c r="J220" s="91">
        <v>3.5</v>
      </c>
      <c r="K220" s="84"/>
      <c r="L220" s="84">
        <f>I220+J220+K220</f>
        <v>4574.400000000001</v>
      </c>
      <c r="M220" s="91">
        <v>-20</v>
      </c>
      <c r="N220" s="84"/>
      <c r="O220" s="84">
        <f>L220+M220+N220</f>
        <v>4554.400000000001</v>
      </c>
      <c r="P220" s="55"/>
      <c r="Q220" s="53">
        <f t="shared" si="59"/>
        <v>4554.400000000001</v>
      </c>
    </row>
    <row r="221" spans="1:17" ht="12.75">
      <c r="A221" s="11" t="s">
        <v>193</v>
      </c>
      <c r="B221" s="11"/>
      <c r="C221" s="84">
        <v>5523</v>
      </c>
      <c r="D221" s="84">
        <v>-5523</v>
      </c>
      <c r="E221" s="84"/>
      <c r="F221" s="84">
        <f aca="true" t="shared" si="63" ref="F221:F253">C221+D221+E221</f>
        <v>0</v>
      </c>
      <c r="G221" s="84"/>
      <c r="H221" s="84"/>
      <c r="I221" s="84">
        <f aca="true" t="shared" si="64" ref="I221:I253">F221+G221+H221</f>
        <v>0</v>
      </c>
      <c r="J221" s="84"/>
      <c r="K221" s="84"/>
      <c r="L221" s="84">
        <f aca="true" t="shared" si="65" ref="L221:L253">I221+J221+K221</f>
        <v>0</v>
      </c>
      <c r="M221" s="84"/>
      <c r="N221" s="84"/>
      <c r="O221" s="84">
        <f>L221+M221+N221</f>
        <v>0</v>
      </c>
      <c r="P221" s="55"/>
      <c r="Q221" s="53">
        <f t="shared" si="59"/>
        <v>0</v>
      </c>
    </row>
    <row r="222" spans="1:17" ht="12.75">
      <c r="A222" s="20" t="s">
        <v>110</v>
      </c>
      <c r="B222" s="20"/>
      <c r="C222" s="84">
        <v>1067</v>
      </c>
      <c r="D222" s="84">
        <v>-1067</v>
      </c>
      <c r="E222" s="84"/>
      <c r="F222" s="84">
        <f t="shared" si="63"/>
        <v>0</v>
      </c>
      <c r="G222" s="84"/>
      <c r="H222" s="84"/>
      <c r="I222" s="84">
        <f t="shared" si="64"/>
        <v>0</v>
      </c>
      <c r="J222" s="84"/>
      <c r="K222" s="84"/>
      <c r="L222" s="84">
        <f t="shared" si="65"/>
        <v>0</v>
      </c>
      <c r="M222" s="84"/>
      <c r="N222" s="84"/>
      <c r="O222" s="84">
        <f>L222+M222+N222</f>
        <v>0</v>
      </c>
      <c r="P222" s="55"/>
      <c r="Q222" s="53">
        <f t="shared" si="59"/>
        <v>0</v>
      </c>
    </row>
    <row r="223" spans="1:17" ht="12.75">
      <c r="A223" s="11" t="s">
        <v>298</v>
      </c>
      <c r="B223" s="100">
        <v>2400</v>
      </c>
      <c r="C223" s="84"/>
      <c r="D223" s="84"/>
      <c r="E223" s="84">
        <v>217.8</v>
      </c>
      <c r="F223" s="84">
        <f t="shared" si="63"/>
        <v>217.8</v>
      </c>
      <c r="G223" s="84"/>
      <c r="H223" s="84"/>
      <c r="I223" s="84">
        <f t="shared" si="64"/>
        <v>217.8</v>
      </c>
      <c r="J223" s="84"/>
      <c r="K223" s="84"/>
      <c r="L223" s="84">
        <f t="shared" si="65"/>
        <v>217.8</v>
      </c>
      <c r="M223" s="84"/>
      <c r="N223" s="84"/>
      <c r="O223" s="84">
        <f aca="true" t="shared" si="66" ref="O223:O237">L223+M223+N223</f>
        <v>217.8</v>
      </c>
      <c r="P223" s="55"/>
      <c r="Q223" s="53">
        <f t="shared" si="59"/>
        <v>217.8</v>
      </c>
    </row>
    <row r="224" spans="1:17" ht="12.75">
      <c r="A224" s="11" t="s">
        <v>366</v>
      </c>
      <c r="B224" s="100"/>
      <c r="C224" s="84"/>
      <c r="D224" s="84"/>
      <c r="E224" s="84"/>
      <c r="F224" s="84"/>
      <c r="G224" s="84"/>
      <c r="H224" s="84"/>
      <c r="I224" s="84"/>
      <c r="J224" s="84"/>
      <c r="K224" s="84"/>
      <c r="L224" s="84">
        <f t="shared" si="65"/>
        <v>0</v>
      </c>
      <c r="M224" s="84">
        <v>634.3</v>
      </c>
      <c r="N224" s="84"/>
      <c r="O224" s="84">
        <f t="shared" si="66"/>
        <v>634.3</v>
      </c>
      <c r="P224" s="55"/>
      <c r="Q224" s="53"/>
    </row>
    <row r="225" spans="1:17" ht="12.75">
      <c r="A225" s="20" t="s">
        <v>295</v>
      </c>
      <c r="B225" s="100">
        <v>5100</v>
      </c>
      <c r="C225" s="84"/>
      <c r="D225" s="84"/>
      <c r="E225" s="84">
        <v>7749.8</v>
      </c>
      <c r="F225" s="84">
        <f t="shared" si="63"/>
        <v>7749.8</v>
      </c>
      <c r="G225" s="84">
        <v>94.5</v>
      </c>
      <c r="H225" s="84"/>
      <c r="I225" s="84">
        <f t="shared" si="64"/>
        <v>7844.3</v>
      </c>
      <c r="J225" s="84">
        <f>58+46.1+138.1</f>
        <v>242.2</v>
      </c>
      <c r="K225" s="84"/>
      <c r="L225" s="84">
        <f t="shared" si="65"/>
        <v>8086.5</v>
      </c>
      <c r="M225" s="84">
        <f>130.6+17.9-58+135.7</f>
        <v>226.2</v>
      </c>
      <c r="N225" s="84"/>
      <c r="O225" s="84">
        <f t="shared" si="66"/>
        <v>8312.7</v>
      </c>
      <c r="P225" s="55"/>
      <c r="Q225" s="53">
        <f t="shared" si="59"/>
        <v>8312.7</v>
      </c>
    </row>
    <row r="226" spans="1:17" ht="12.75">
      <c r="A226" s="20" t="s">
        <v>190</v>
      </c>
      <c r="B226" s="101"/>
      <c r="C226" s="84"/>
      <c r="D226" s="84"/>
      <c r="E226" s="84"/>
      <c r="F226" s="84">
        <f t="shared" si="63"/>
        <v>0</v>
      </c>
      <c r="G226" s="84">
        <f>11750.2+11943.3</f>
        <v>23693.5</v>
      </c>
      <c r="H226" s="84"/>
      <c r="I226" s="84">
        <f t="shared" si="64"/>
        <v>23693.5</v>
      </c>
      <c r="J226" s="84">
        <v>14323.6</v>
      </c>
      <c r="K226" s="84"/>
      <c r="L226" s="84">
        <f t="shared" si="65"/>
        <v>38017.1</v>
      </c>
      <c r="M226" s="84">
        <f>2529.8+7585+1668.5</f>
        <v>11783.3</v>
      </c>
      <c r="N226" s="84"/>
      <c r="O226" s="84">
        <f t="shared" si="66"/>
        <v>49800.399999999994</v>
      </c>
      <c r="P226" s="55"/>
      <c r="Q226" s="53">
        <f t="shared" si="59"/>
        <v>49800.399999999994</v>
      </c>
    </row>
    <row r="227" spans="1:17" ht="12.75">
      <c r="A227" s="20" t="s">
        <v>284</v>
      </c>
      <c r="B227" s="101">
        <v>5200</v>
      </c>
      <c r="C227" s="84"/>
      <c r="D227" s="84"/>
      <c r="E227" s="84">
        <v>38.9</v>
      </c>
      <c r="F227" s="84">
        <f t="shared" si="63"/>
        <v>38.9</v>
      </c>
      <c r="G227" s="84"/>
      <c r="H227" s="84"/>
      <c r="I227" s="84">
        <f t="shared" si="64"/>
        <v>38.9</v>
      </c>
      <c r="J227" s="84"/>
      <c r="K227" s="84"/>
      <c r="L227" s="84">
        <f t="shared" si="65"/>
        <v>38.9</v>
      </c>
      <c r="M227" s="84"/>
      <c r="N227" s="84"/>
      <c r="O227" s="84">
        <f t="shared" si="66"/>
        <v>38.9</v>
      </c>
      <c r="P227" s="55"/>
      <c r="Q227" s="53">
        <f t="shared" si="59"/>
        <v>38.9</v>
      </c>
    </row>
    <row r="228" spans="1:17" ht="12.75">
      <c r="A228" s="20" t="s">
        <v>191</v>
      </c>
      <c r="B228" s="101"/>
      <c r="C228" s="84"/>
      <c r="D228" s="84"/>
      <c r="E228" s="84"/>
      <c r="F228" s="84">
        <f t="shared" si="63"/>
        <v>0</v>
      </c>
      <c r="G228" s="84"/>
      <c r="H228" s="84"/>
      <c r="I228" s="84">
        <f t="shared" si="64"/>
        <v>0</v>
      </c>
      <c r="J228" s="84">
        <f>9.2+154.5</f>
        <v>163.7</v>
      </c>
      <c r="K228" s="84"/>
      <c r="L228" s="84">
        <f t="shared" si="65"/>
        <v>163.7</v>
      </c>
      <c r="M228" s="84"/>
      <c r="N228" s="84"/>
      <c r="O228" s="84">
        <f t="shared" si="66"/>
        <v>163.7</v>
      </c>
      <c r="P228" s="55"/>
      <c r="Q228" s="53">
        <f t="shared" si="59"/>
        <v>163.7</v>
      </c>
    </row>
    <row r="229" spans="1:17" ht="12.75" hidden="1">
      <c r="A229" s="20" t="s">
        <v>256</v>
      </c>
      <c r="B229" s="101"/>
      <c r="C229" s="84"/>
      <c r="D229" s="84"/>
      <c r="E229" s="84"/>
      <c r="F229" s="84">
        <f t="shared" si="63"/>
        <v>0</v>
      </c>
      <c r="G229" s="84"/>
      <c r="H229" s="84"/>
      <c r="I229" s="84">
        <f t="shared" si="64"/>
        <v>0</v>
      </c>
      <c r="J229" s="84"/>
      <c r="K229" s="84"/>
      <c r="L229" s="84">
        <f t="shared" si="65"/>
        <v>0</v>
      </c>
      <c r="M229" s="84"/>
      <c r="N229" s="84"/>
      <c r="O229" s="84">
        <f t="shared" si="66"/>
        <v>0</v>
      </c>
      <c r="P229" s="55"/>
      <c r="Q229" s="53">
        <f t="shared" si="59"/>
        <v>0</v>
      </c>
    </row>
    <row r="230" spans="1:17" ht="12.75" hidden="1">
      <c r="A230" s="20" t="s">
        <v>211</v>
      </c>
      <c r="B230" s="101"/>
      <c r="C230" s="84"/>
      <c r="D230" s="84"/>
      <c r="E230" s="84"/>
      <c r="F230" s="84">
        <f t="shared" si="63"/>
        <v>0</v>
      </c>
      <c r="G230" s="84"/>
      <c r="H230" s="84"/>
      <c r="I230" s="84">
        <f t="shared" si="64"/>
        <v>0</v>
      </c>
      <c r="J230" s="84"/>
      <c r="K230" s="84"/>
      <c r="L230" s="84">
        <f t="shared" si="65"/>
        <v>0</v>
      </c>
      <c r="M230" s="84"/>
      <c r="N230" s="84"/>
      <c r="O230" s="84">
        <f t="shared" si="66"/>
        <v>0</v>
      </c>
      <c r="P230" s="55"/>
      <c r="Q230" s="53">
        <f t="shared" si="59"/>
        <v>0</v>
      </c>
    </row>
    <row r="231" spans="1:17" ht="12.75">
      <c r="A231" s="20" t="s">
        <v>296</v>
      </c>
      <c r="B231" s="101">
        <v>3500</v>
      </c>
      <c r="C231" s="84"/>
      <c r="D231" s="84"/>
      <c r="E231" s="84">
        <v>553.2</v>
      </c>
      <c r="F231" s="84">
        <f t="shared" si="63"/>
        <v>553.2</v>
      </c>
      <c r="G231" s="84"/>
      <c r="H231" s="84"/>
      <c r="I231" s="84">
        <f t="shared" si="64"/>
        <v>553.2</v>
      </c>
      <c r="J231" s="84"/>
      <c r="K231" s="84"/>
      <c r="L231" s="84">
        <f t="shared" si="65"/>
        <v>553.2</v>
      </c>
      <c r="M231" s="84"/>
      <c r="N231" s="84"/>
      <c r="O231" s="84">
        <f t="shared" si="66"/>
        <v>553.2</v>
      </c>
      <c r="P231" s="55"/>
      <c r="Q231" s="53">
        <f t="shared" si="59"/>
        <v>553.2</v>
      </c>
    </row>
    <row r="232" spans="1:17" ht="12.75">
      <c r="A232" s="20" t="s">
        <v>334</v>
      </c>
      <c r="B232" s="101"/>
      <c r="C232" s="84"/>
      <c r="D232" s="84"/>
      <c r="E232" s="84"/>
      <c r="F232" s="84"/>
      <c r="G232" s="84"/>
      <c r="H232" s="84"/>
      <c r="I232" s="84">
        <f t="shared" si="64"/>
        <v>0</v>
      </c>
      <c r="J232" s="84">
        <v>3172.3</v>
      </c>
      <c r="K232" s="84"/>
      <c r="L232" s="84">
        <f t="shared" si="65"/>
        <v>3172.3</v>
      </c>
      <c r="M232" s="84"/>
      <c r="N232" s="84"/>
      <c r="O232" s="84">
        <f t="shared" si="66"/>
        <v>3172.3</v>
      </c>
      <c r="P232" s="55"/>
      <c r="Q232" s="53"/>
    </row>
    <row r="233" spans="1:17" ht="12.75" hidden="1">
      <c r="A233" s="20" t="s">
        <v>229</v>
      </c>
      <c r="B233" s="101"/>
      <c r="C233" s="84"/>
      <c r="D233" s="84"/>
      <c r="E233" s="84"/>
      <c r="F233" s="84">
        <f t="shared" si="63"/>
        <v>0</v>
      </c>
      <c r="G233" s="84"/>
      <c r="H233" s="84"/>
      <c r="I233" s="84">
        <f t="shared" si="64"/>
        <v>0</v>
      </c>
      <c r="J233" s="84"/>
      <c r="K233" s="84"/>
      <c r="L233" s="84">
        <f t="shared" si="65"/>
        <v>0</v>
      </c>
      <c r="M233" s="84"/>
      <c r="N233" s="84"/>
      <c r="O233" s="84">
        <f t="shared" si="66"/>
        <v>0</v>
      </c>
      <c r="P233" s="55"/>
      <c r="Q233" s="53">
        <f t="shared" si="59"/>
        <v>0</v>
      </c>
    </row>
    <row r="234" spans="1:17" ht="12.75" hidden="1">
      <c r="A234" s="20" t="s">
        <v>257</v>
      </c>
      <c r="B234" s="101"/>
      <c r="C234" s="84"/>
      <c r="D234" s="84"/>
      <c r="E234" s="84"/>
      <c r="F234" s="84">
        <f t="shared" si="63"/>
        <v>0</v>
      </c>
      <c r="G234" s="84"/>
      <c r="H234" s="84"/>
      <c r="I234" s="84">
        <f t="shared" si="64"/>
        <v>0</v>
      </c>
      <c r="J234" s="84"/>
      <c r="K234" s="84"/>
      <c r="L234" s="84">
        <f t="shared" si="65"/>
        <v>0</v>
      </c>
      <c r="M234" s="84"/>
      <c r="N234" s="84"/>
      <c r="O234" s="84">
        <f t="shared" si="66"/>
        <v>0</v>
      </c>
      <c r="P234" s="55"/>
      <c r="Q234" s="53">
        <f t="shared" si="59"/>
        <v>0</v>
      </c>
    </row>
    <row r="235" spans="1:17" ht="12.75">
      <c r="A235" s="20" t="s">
        <v>215</v>
      </c>
      <c r="B235" s="101">
        <v>1500</v>
      </c>
      <c r="C235" s="84"/>
      <c r="D235" s="84"/>
      <c r="E235" s="84"/>
      <c r="F235" s="84">
        <f t="shared" si="63"/>
        <v>0</v>
      </c>
      <c r="G235" s="84"/>
      <c r="H235" s="84"/>
      <c r="I235" s="84">
        <f t="shared" si="64"/>
        <v>0</v>
      </c>
      <c r="J235" s="84"/>
      <c r="K235" s="84"/>
      <c r="L235" s="84">
        <f t="shared" si="65"/>
        <v>0</v>
      </c>
      <c r="M235" s="84">
        <v>150.4</v>
      </c>
      <c r="N235" s="84"/>
      <c r="O235" s="84">
        <f t="shared" si="66"/>
        <v>150.4</v>
      </c>
      <c r="P235" s="55"/>
      <c r="Q235" s="53">
        <f t="shared" si="59"/>
        <v>150.4</v>
      </c>
    </row>
    <row r="236" spans="1:17" ht="12.75">
      <c r="A236" s="20" t="s">
        <v>297</v>
      </c>
      <c r="B236" s="101">
        <v>3600</v>
      </c>
      <c r="C236" s="84"/>
      <c r="D236" s="84"/>
      <c r="E236" s="84">
        <v>82.8</v>
      </c>
      <c r="F236" s="84">
        <f t="shared" si="63"/>
        <v>82.8</v>
      </c>
      <c r="G236" s="84"/>
      <c r="H236" s="84"/>
      <c r="I236" s="84">
        <f t="shared" si="64"/>
        <v>82.8</v>
      </c>
      <c r="J236" s="84"/>
      <c r="K236" s="84"/>
      <c r="L236" s="84">
        <f t="shared" si="65"/>
        <v>82.8</v>
      </c>
      <c r="M236" s="84"/>
      <c r="N236" s="84"/>
      <c r="O236" s="84">
        <f t="shared" si="66"/>
        <v>82.8</v>
      </c>
      <c r="P236" s="55"/>
      <c r="Q236" s="53">
        <f t="shared" si="59"/>
        <v>82.8</v>
      </c>
    </row>
    <row r="237" spans="1:17" ht="12.75">
      <c r="A237" s="20" t="s">
        <v>363</v>
      </c>
      <c r="B237" s="101"/>
      <c r="C237" s="84"/>
      <c r="D237" s="84"/>
      <c r="E237" s="84"/>
      <c r="F237" s="84">
        <f t="shared" si="63"/>
        <v>0</v>
      </c>
      <c r="G237" s="84"/>
      <c r="H237" s="84"/>
      <c r="I237" s="84">
        <f t="shared" si="64"/>
        <v>0</v>
      </c>
      <c r="J237" s="84">
        <v>7.9</v>
      </c>
      <c r="K237" s="84"/>
      <c r="L237" s="84">
        <f t="shared" si="65"/>
        <v>7.9</v>
      </c>
      <c r="M237" s="84"/>
      <c r="N237" s="84"/>
      <c r="O237" s="84">
        <f t="shared" si="66"/>
        <v>7.9</v>
      </c>
      <c r="P237" s="55"/>
      <c r="Q237" s="53">
        <f t="shared" si="59"/>
        <v>7.9</v>
      </c>
    </row>
    <row r="238" spans="1:17" ht="12.75" hidden="1">
      <c r="A238" s="10" t="s">
        <v>111</v>
      </c>
      <c r="B238" s="102"/>
      <c r="C238" s="84"/>
      <c r="D238" s="84"/>
      <c r="E238" s="84"/>
      <c r="F238" s="84">
        <f t="shared" si="63"/>
        <v>0</v>
      </c>
      <c r="G238" s="84"/>
      <c r="H238" s="84"/>
      <c r="I238" s="84">
        <f t="shared" si="64"/>
        <v>0</v>
      </c>
      <c r="J238" s="84"/>
      <c r="K238" s="84"/>
      <c r="L238" s="84">
        <f t="shared" si="65"/>
        <v>0</v>
      </c>
      <c r="M238" s="84"/>
      <c r="N238" s="84"/>
      <c r="O238" s="84">
        <f>L238+M238+N238</f>
        <v>0</v>
      </c>
      <c r="P238" s="55"/>
      <c r="Q238" s="53">
        <f t="shared" si="59"/>
        <v>0</v>
      </c>
    </row>
    <row r="239" spans="1:17" ht="12.75" hidden="1">
      <c r="A239" s="10" t="s">
        <v>112</v>
      </c>
      <c r="B239" s="102"/>
      <c r="C239" s="84"/>
      <c r="D239" s="84"/>
      <c r="E239" s="84"/>
      <c r="F239" s="84">
        <f t="shared" si="63"/>
        <v>0</v>
      </c>
      <c r="G239" s="84"/>
      <c r="H239" s="84"/>
      <c r="I239" s="84">
        <f t="shared" si="64"/>
        <v>0</v>
      </c>
      <c r="J239" s="84"/>
      <c r="K239" s="84"/>
      <c r="L239" s="84">
        <f t="shared" si="65"/>
        <v>0</v>
      </c>
      <c r="M239" s="84"/>
      <c r="N239" s="84"/>
      <c r="O239" s="84">
        <f>L239+M239+N239</f>
        <v>0</v>
      </c>
      <c r="P239" s="55"/>
      <c r="Q239" s="53">
        <f t="shared" si="59"/>
        <v>0</v>
      </c>
    </row>
    <row r="240" spans="1:17" ht="12.75" hidden="1">
      <c r="A240" s="20" t="s">
        <v>113</v>
      </c>
      <c r="B240" s="101"/>
      <c r="C240" s="84"/>
      <c r="D240" s="84"/>
      <c r="E240" s="84"/>
      <c r="F240" s="84">
        <f t="shared" si="63"/>
        <v>0</v>
      </c>
      <c r="G240" s="84"/>
      <c r="H240" s="84"/>
      <c r="I240" s="84">
        <f t="shared" si="64"/>
        <v>0</v>
      </c>
      <c r="J240" s="84"/>
      <c r="K240" s="84"/>
      <c r="L240" s="84">
        <f t="shared" si="65"/>
        <v>0</v>
      </c>
      <c r="M240" s="84"/>
      <c r="N240" s="84"/>
      <c r="O240" s="84">
        <f>L240+M240+N240</f>
        <v>0</v>
      </c>
      <c r="P240" s="55"/>
      <c r="Q240" s="53">
        <f t="shared" si="59"/>
        <v>0</v>
      </c>
    </row>
    <row r="241" spans="1:17" ht="12.75">
      <c r="A241" s="11" t="s">
        <v>289</v>
      </c>
      <c r="B241" s="100">
        <v>4000</v>
      </c>
      <c r="C241" s="84"/>
      <c r="D241" s="84"/>
      <c r="E241" s="84">
        <v>15774</v>
      </c>
      <c r="F241" s="84">
        <f t="shared" si="63"/>
        <v>15774</v>
      </c>
      <c r="G241" s="84">
        <f>42.3+43.2</f>
        <v>85.5</v>
      </c>
      <c r="H241" s="84"/>
      <c r="I241" s="84">
        <f t="shared" si="64"/>
        <v>15859.5</v>
      </c>
      <c r="J241" s="84">
        <f>106.1+67.9</f>
        <v>174</v>
      </c>
      <c r="K241" s="84"/>
      <c r="L241" s="84">
        <f t="shared" si="65"/>
        <v>16033.5</v>
      </c>
      <c r="M241" s="84"/>
      <c r="N241" s="84"/>
      <c r="O241" s="84">
        <f aca="true" t="shared" si="67" ref="O241:O253">L241+M241+N241</f>
        <v>16033.5</v>
      </c>
      <c r="P241" s="55"/>
      <c r="Q241" s="53">
        <f t="shared" si="59"/>
        <v>16033.5</v>
      </c>
    </row>
    <row r="242" spans="1:17" ht="12.75" hidden="1">
      <c r="A242" s="11" t="s">
        <v>201</v>
      </c>
      <c r="B242" s="100"/>
      <c r="C242" s="84"/>
      <c r="D242" s="84"/>
      <c r="E242" s="84"/>
      <c r="F242" s="84">
        <f t="shared" si="63"/>
        <v>0</v>
      </c>
      <c r="G242" s="84"/>
      <c r="H242" s="84"/>
      <c r="I242" s="84">
        <f t="shared" si="64"/>
        <v>0</v>
      </c>
      <c r="J242" s="84"/>
      <c r="K242" s="84"/>
      <c r="L242" s="84">
        <f t="shared" si="65"/>
        <v>0</v>
      </c>
      <c r="M242" s="84"/>
      <c r="N242" s="84"/>
      <c r="O242" s="84">
        <f t="shared" si="67"/>
        <v>0</v>
      </c>
      <c r="P242" s="55"/>
      <c r="Q242" s="53">
        <f t="shared" si="59"/>
        <v>0</v>
      </c>
    </row>
    <row r="243" spans="1:17" ht="12.75">
      <c r="A243" s="11" t="s">
        <v>285</v>
      </c>
      <c r="B243" s="100">
        <v>2100</v>
      </c>
      <c r="C243" s="84"/>
      <c r="D243" s="84"/>
      <c r="E243" s="84">
        <v>25172.3</v>
      </c>
      <c r="F243" s="84">
        <f t="shared" si="63"/>
        <v>25172.3</v>
      </c>
      <c r="G243" s="84">
        <f>128</f>
        <v>128</v>
      </c>
      <c r="H243" s="84"/>
      <c r="I243" s="84">
        <f t="shared" si="64"/>
        <v>25300.3</v>
      </c>
      <c r="J243" s="84">
        <v>234</v>
      </c>
      <c r="K243" s="84"/>
      <c r="L243" s="84">
        <f t="shared" si="65"/>
        <v>25534.3</v>
      </c>
      <c r="M243" s="84">
        <f>-234-128</f>
        <v>-362</v>
      </c>
      <c r="N243" s="84"/>
      <c r="O243" s="84">
        <f t="shared" si="67"/>
        <v>25172.3</v>
      </c>
      <c r="P243" s="55"/>
      <c r="Q243" s="53">
        <f t="shared" si="59"/>
        <v>25172.3</v>
      </c>
    </row>
    <row r="244" spans="1:17" ht="12.75">
      <c r="A244" s="11" t="s">
        <v>304</v>
      </c>
      <c r="B244" s="100"/>
      <c r="C244" s="84"/>
      <c r="D244" s="84"/>
      <c r="E244" s="84"/>
      <c r="F244" s="84">
        <f t="shared" si="63"/>
        <v>0</v>
      </c>
      <c r="G244" s="84">
        <v>8044.1</v>
      </c>
      <c r="H244" s="84"/>
      <c r="I244" s="84">
        <f t="shared" si="64"/>
        <v>8044.1</v>
      </c>
      <c r="J244" s="84">
        <v>9608.9</v>
      </c>
      <c r="K244" s="84"/>
      <c r="L244" s="84">
        <f t="shared" si="65"/>
        <v>17653</v>
      </c>
      <c r="M244" s="84">
        <f>2983.6+4365.9</f>
        <v>7349.5</v>
      </c>
      <c r="N244" s="84"/>
      <c r="O244" s="84">
        <f t="shared" si="67"/>
        <v>25002.5</v>
      </c>
      <c r="P244" s="55"/>
      <c r="Q244" s="53"/>
    </row>
    <row r="245" spans="1:17" ht="12.75">
      <c r="A245" s="20" t="s">
        <v>290</v>
      </c>
      <c r="B245" s="101">
        <v>4100</v>
      </c>
      <c r="C245" s="84"/>
      <c r="D245" s="84"/>
      <c r="E245" s="84">
        <v>4062.2</v>
      </c>
      <c r="F245" s="84">
        <f t="shared" si="63"/>
        <v>4062.2</v>
      </c>
      <c r="G245" s="84"/>
      <c r="H245" s="84"/>
      <c r="I245" s="84">
        <f t="shared" si="64"/>
        <v>4062.2</v>
      </c>
      <c r="J245" s="84"/>
      <c r="K245" s="84"/>
      <c r="L245" s="84">
        <f t="shared" si="65"/>
        <v>4062.2</v>
      </c>
      <c r="M245" s="84"/>
      <c r="N245" s="84"/>
      <c r="O245" s="84">
        <f t="shared" si="67"/>
        <v>4062.2</v>
      </c>
      <c r="P245" s="55"/>
      <c r="Q245" s="53">
        <f t="shared" si="59"/>
        <v>4062.2</v>
      </c>
    </row>
    <row r="246" spans="1:17" ht="12.75" hidden="1">
      <c r="A246" s="20" t="s">
        <v>210</v>
      </c>
      <c r="B246" s="101"/>
      <c r="C246" s="84"/>
      <c r="D246" s="84"/>
      <c r="E246" s="84"/>
      <c r="F246" s="84">
        <f t="shared" si="63"/>
        <v>0</v>
      </c>
      <c r="G246" s="84"/>
      <c r="H246" s="84"/>
      <c r="I246" s="84">
        <f t="shared" si="64"/>
        <v>0</v>
      </c>
      <c r="J246" s="84"/>
      <c r="K246" s="84"/>
      <c r="L246" s="84">
        <f t="shared" si="65"/>
        <v>0</v>
      </c>
      <c r="M246" s="84"/>
      <c r="N246" s="84"/>
      <c r="O246" s="84">
        <f t="shared" si="67"/>
        <v>0</v>
      </c>
      <c r="P246" s="55"/>
      <c r="Q246" s="53">
        <f t="shared" si="59"/>
        <v>0</v>
      </c>
    </row>
    <row r="247" spans="1:17" ht="12.75">
      <c r="A247" s="20" t="s">
        <v>286</v>
      </c>
      <c r="B247" s="101">
        <v>2200</v>
      </c>
      <c r="C247" s="84"/>
      <c r="D247" s="84"/>
      <c r="E247" s="84">
        <v>7140</v>
      </c>
      <c r="F247" s="84">
        <f t="shared" si="63"/>
        <v>7140</v>
      </c>
      <c r="G247" s="84"/>
      <c r="H247" s="84"/>
      <c r="I247" s="84">
        <f t="shared" si="64"/>
        <v>7140</v>
      </c>
      <c r="J247" s="84"/>
      <c r="K247" s="84"/>
      <c r="L247" s="84">
        <f t="shared" si="65"/>
        <v>7140</v>
      </c>
      <c r="M247" s="84"/>
      <c r="N247" s="84"/>
      <c r="O247" s="84">
        <f t="shared" si="67"/>
        <v>7140</v>
      </c>
      <c r="P247" s="55"/>
      <c r="Q247" s="53">
        <f t="shared" si="59"/>
        <v>7140</v>
      </c>
    </row>
    <row r="248" spans="1:17" ht="12.75">
      <c r="A248" s="20" t="s">
        <v>310</v>
      </c>
      <c r="B248" s="101"/>
      <c r="C248" s="84"/>
      <c r="D248" s="84"/>
      <c r="E248" s="84"/>
      <c r="F248" s="84">
        <f t="shared" si="63"/>
        <v>0</v>
      </c>
      <c r="G248" s="84">
        <v>3968.6</v>
      </c>
      <c r="H248" s="84"/>
      <c r="I248" s="84">
        <f t="shared" si="64"/>
        <v>3968.6</v>
      </c>
      <c r="J248" s="84">
        <v>2582.3</v>
      </c>
      <c r="K248" s="84"/>
      <c r="L248" s="84">
        <f t="shared" si="65"/>
        <v>6550.9</v>
      </c>
      <c r="M248" s="84">
        <f>916.8+2290.3+1239.5</f>
        <v>4446.6</v>
      </c>
      <c r="N248" s="84"/>
      <c r="O248" s="84">
        <f t="shared" si="67"/>
        <v>10997.5</v>
      </c>
      <c r="P248" s="55"/>
      <c r="Q248" s="53"/>
    </row>
    <row r="249" spans="1:17" ht="12.75">
      <c r="A249" s="20" t="s">
        <v>291</v>
      </c>
      <c r="B249" s="101">
        <v>4200</v>
      </c>
      <c r="C249" s="84"/>
      <c r="D249" s="84"/>
      <c r="E249" s="84">
        <v>19682.6</v>
      </c>
      <c r="F249" s="84">
        <f t="shared" si="63"/>
        <v>19682.6</v>
      </c>
      <c r="G249" s="84"/>
      <c r="H249" s="84"/>
      <c r="I249" s="84">
        <f t="shared" si="64"/>
        <v>19682.6</v>
      </c>
      <c r="J249" s="84">
        <f>759.9+7.4</f>
        <v>767.3</v>
      </c>
      <c r="K249" s="84"/>
      <c r="L249" s="84">
        <f t="shared" si="65"/>
        <v>20449.899999999998</v>
      </c>
      <c r="M249" s="84"/>
      <c r="N249" s="84"/>
      <c r="O249" s="84">
        <f t="shared" si="67"/>
        <v>20449.899999999998</v>
      </c>
      <c r="P249" s="55"/>
      <c r="Q249" s="53">
        <f t="shared" si="59"/>
        <v>20449.899999999998</v>
      </c>
    </row>
    <row r="250" spans="1:17" ht="12.75" hidden="1">
      <c r="A250" s="20" t="s">
        <v>200</v>
      </c>
      <c r="B250" s="101"/>
      <c r="C250" s="84"/>
      <c r="D250" s="84"/>
      <c r="E250" s="84"/>
      <c r="F250" s="84">
        <f t="shared" si="63"/>
        <v>0</v>
      </c>
      <c r="G250" s="84"/>
      <c r="H250" s="84"/>
      <c r="I250" s="84">
        <f t="shared" si="64"/>
        <v>0</v>
      </c>
      <c r="J250" s="84"/>
      <c r="K250" s="84"/>
      <c r="L250" s="84">
        <f t="shared" si="65"/>
        <v>0</v>
      </c>
      <c r="M250" s="84"/>
      <c r="N250" s="84"/>
      <c r="O250" s="84">
        <f t="shared" si="67"/>
        <v>0</v>
      </c>
      <c r="P250" s="55"/>
      <c r="Q250" s="53">
        <f t="shared" si="59"/>
        <v>0</v>
      </c>
    </row>
    <row r="251" spans="1:17" ht="12.75">
      <c r="A251" s="20" t="s">
        <v>287</v>
      </c>
      <c r="B251" s="101">
        <v>2300</v>
      </c>
      <c r="C251" s="84"/>
      <c r="D251" s="84"/>
      <c r="E251" s="84">
        <v>10291.4</v>
      </c>
      <c r="F251" s="84">
        <f t="shared" si="63"/>
        <v>10291.4</v>
      </c>
      <c r="G251" s="84">
        <v>59</v>
      </c>
      <c r="H251" s="84"/>
      <c r="I251" s="84">
        <f t="shared" si="64"/>
        <v>10350.4</v>
      </c>
      <c r="J251" s="84">
        <v>10</v>
      </c>
      <c r="K251" s="84"/>
      <c r="L251" s="84">
        <f t="shared" si="65"/>
        <v>10360.4</v>
      </c>
      <c r="M251" s="84"/>
      <c r="N251" s="84"/>
      <c r="O251" s="84">
        <f t="shared" si="67"/>
        <v>10360.4</v>
      </c>
      <c r="P251" s="55"/>
      <c r="Q251" s="53">
        <f t="shared" si="59"/>
        <v>10360.4</v>
      </c>
    </row>
    <row r="252" spans="1:17" ht="12.75">
      <c r="A252" s="20" t="s">
        <v>303</v>
      </c>
      <c r="B252" s="101"/>
      <c r="C252" s="84"/>
      <c r="D252" s="84"/>
      <c r="E252" s="84"/>
      <c r="F252" s="84">
        <f t="shared" si="63"/>
        <v>0</v>
      </c>
      <c r="G252" s="84">
        <v>2320.8</v>
      </c>
      <c r="H252" s="84"/>
      <c r="I252" s="84">
        <f t="shared" si="64"/>
        <v>2320.8</v>
      </c>
      <c r="J252" s="84">
        <v>2328</v>
      </c>
      <c r="K252" s="84"/>
      <c r="L252" s="84">
        <f t="shared" si="65"/>
        <v>4648.8</v>
      </c>
      <c r="M252" s="84">
        <f>2638.3+562.5+1752.1</f>
        <v>4952.9</v>
      </c>
      <c r="N252" s="84"/>
      <c r="O252" s="84">
        <f t="shared" si="67"/>
        <v>9601.7</v>
      </c>
      <c r="P252" s="55"/>
      <c r="Q252" s="53"/>
    </row>
    <row r="253" spans="1:17" ht="12.75">
      <c r="A253" s="21" t="s">
        <v>103</v>
      </c>
      <c r="B253" s="104"/>
      <c r="C253" s="88">
        <v>800</v>
      </c>
      <c r="D253" s="88"/>
      <c r="E253" s="88">
        <v>14.9</v>
      </c>
      <c r="F253" s="88">
        <f t="shared" si="63"/>
        <v>814.9</v>
      </c>
      <c r="G253" s="88"/>
      <c r="H253" s="88"/>
      <c r="I253" s="88">
        <f t="shared" si="64"/>
        <v>814.9</v>
      </c>
      <c r="J253" s="88"/>
      <c r="K253" s="88"/>
      <c r="L253" s="88">
        <f t="shared" si="65"/>
        <v>814.9</v>
      </c>
      <c r="M253" s="88"/>
      <c r="N253" s="88"/>
      <c r="O253" s="88">
        <f t="shared" si="67"/>
        <v>814.9</v>
      </c>
      <c r="P253" s="55"/>
      <c r="Q253" s="53"/>
    </row>
    <row r="254" spans="1:17" ht="12.75">
      <c r="A254" s="18" t="s">
        <v>75</v>
      </c>
      <c r="B254" s="103"/>
      <c r="C254" s="89">
        <f aca="true" t="shared" si="68" ref="C254:O254">SUM(C256:C270)</f>
        <v>0</v>
      </c>
      <c r="D254" s="89">
        <f t="shared" si="68"/>
        <v>0</v>
      </c>
      <c r="E254" s="89">
        <f t="shared" si="68"/>
        <v>7418.3</v>
      </c>
      <c r="F254" s="89">
        <f t="shared" si="68"/>
        <v>7418.3</v>
      </c>
      <c r="G254" s="89">
        <f t="shared" si="68"/>
        <v>26.1</v>
      </c>
      <c r="H254" s="89">
        <f t="shared" si="68"/>
        <v>0</v>
      </c>
      <c r="I254" s="89">
        <f t="shared" si="68"/>
        <v>7444.4</v>
      </c>
      <c r="J254" s="89">
        <f t="shared" si="68"/>
        <v>4.9</v>
      </c>
      <c r="K254" s="89">
        <f t="shared" si="68"/>
        <v>0</v>
      </c>
      <c r="L254" s="89">
        <f t="shared" si="68"/>
        <v>7449.299999999999</v>
      </c>
      <c r="M254" s="89">
        <f t="shared" si="68"/>
        <v>433.2</v>
      </c>
      <c r="N254" s="89">
        <f t="shared" si="68"/>
        <v>0</v>
      </c>
      <c r="O254" s="89">
        <f t="shared" si="68"/>
        <v>7882.499999999999</v>
      </c>
      <c r="P254" s="61"/>
      <c r="Q254" s="49">
        <f>SUM(Q256:Q270)</f>
        <v>7856.399999999999</v>
      </c>
    </row>
    <row r="255" spans="1:17" ht="12.75">
      <c r="A255" s="20" t="s">
        <v>38</v>
      </c>
      <c r="B255" s="101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55"/>
      <c r="Q255" s="53"/>
    </row>
    <row r="256" spans="1:17" ht="12.75" hidden="1">
      <c r="A256" s="11" t="s">
        <v>114</v>
      </c>
      <c r="B256" s="100"/>
      <c r="C256" s="84"/>
      <c r="D256" s="84"/>
      <c r="E256" s="84"/>
      <c r="F256" s="84">
        <f aca="true" t="shared" si="69" ref="F256:F270">C256+D256+E256</f>
        <v>0</v>
      </c>
      <c r="G256" s="84"/>
      <c r="H256" s="84"/>
      <c r="I256" s="84">
        <f aca="true" t="shared" si="70" ref="I256:I270">F256+G256+H256</f>
        <v>0</v>
      </c>
      <c r="J256" s="84"/>
      <c r="K256" s="84"/>
      <c r="L256" s="84">
        <f aca="true" t="shared" si="71" ref="L256:L270">I256+J256+K256</f>
        <v>0</v>
      </c>
      <c r="M256" s="84"/>
      <c r="N256" s="84"/>
      <c r="O256" s="84">
        <f aca="true" t="shared" si="72" ref="O256:O270">L256+M256+N256</f>
        <v>0</v>
      </c>
      <c r="P256" s="55"/>
      <c r="Q256" s="53">
        <f t="shared" si="59"/>
        <v>0</v>
      </c>
    </row>
    <row r="257" spans="1:17" ht="12.75" hidden="1">
      <c r="A257" s="20" t="s">
        <v>113</v>
      </c>
      <c r="B257" s="101"/>
      <c r="C257" s="84"/>
      <c r="D257" s="84"/>
      <c r="E257" s="84"/>
      <c r="F257" s="84">
        <f t="shared" si="69"/>
        <v>0</v>
      </c>
      <c r="G257" s="84"/>
      <c r="H257" s="84"/>
      <c r="I257" s="84">
        <f t="shared" si="70"/>
        <v>0</v>
      </c>
      <c r="J257" s="84"/>
      <c r="K257" s="84"/>
      <c r="L257" s="84">
        <f t="shared" si="71"/>
        <v>0</v>
      </c>
      <c r="M257" s="84"/>
      <c r="N257" s="84"/>
      <c r="O257" s="84">
        <f t="shared" si="72"/>
        <v>0</v>
      </c>
      <c r="P257" s="55"/>
      <c r="Q257" s="53">
        <f t="shared" si="59"/>
        <v>0</v>
      </c>
    </row>
    <row r="258" spans="1:17" ht="12.75" hidden="1">
      <c r="A258" s="10" t="s">
        <v>112</v>
      </c>
      <c r="B258" s="102"/>
      <c r="C258" s="84"/>
      <c r="D258" s="84"/>
      <c r="E258" s="84"/>
      <c r="F258" s="84">
        <f t="shared" si="69"/>
        <v>0</v>
      </c>
      <c r="G258" s="84"/>
      <c r="H258" s="84"/>
      <c r="I258" s="84">
        <f t="shared" si="70"/>
        <v>0</v>
      </c>
      <c r="J258" s="84"/>
      <c r="K258" s="84"/>
      <c r="L258" s="84">
        <f t="shared" si="71"/>
        <v>0</v>
      </c>
      <c r="M258" s="84"/>
      <c r="N258" s="84"/>
      <c r="O258" s="84">
        <f t="shared" si="72"/>
        <v>0</v>
      </c>
      <c r="P258" s="55"/>
      <c r="Q258" s="53">
        <f t="shared" si="59"/>
        <v>0</v>
      </c>
    </row>
    <row r="259" spans="1:17" ht="12.75" hidden="1">
      <c r="A259" s="11" t="s">
        <v>115</v>
      </c>
      <c r="B259" s="100"/>
      <c r="C259" s="84"/>
      <c r="D259" s="84"/>
      <c r="E259" s="84"/>
      <c r="F259" s="84">
        <f t="shared" si="69"/>
        <v>0</v>
      </c>
      <c r="G259" s="84"/>
      <c r="H259" s="84"/>
      <c r="I259" s="84">
        <f t="shared" si="70"/>
        <v>0</v>
      </c>
      <c r="J259" s="84"/>
      <c r="K259" s="84"/>
      <c r="L259" s="84">
        <f t="shared" si="71"/>
        <v>0</v>
      </c>
      <c r="M259" s="84"/>
      <c r="N259" s="84"/>
      <c r="O259" s="84">
        <f t="shared" si="72"/>
        <v>0</v>
      </c>
      <c r="P259" s="55"/>
      <c r="Q259" s="53">
        <f t="shared" si="59"/>
        <v>0</v>
      </c>
    </row>
    <row r="260" spans="1:17" ht="12.75">
      <c r="A260" s="20" t="s">
        <v>294</v>
      </c>
      <c r="B260" s="101">
        <v>5100</v>
      </c>
      <c r="C260" s="84"/>
      <c r="D260" s="84"/>
      <c r="E260" s="84">
        <v>1255.2</v>
      </c>
      <c r="F260" s="84">
        <f t="shared" si="69"/>
        <v>1255.2</v>
      </c>
      <c r="G260" s="84"/>
      <c r="H260" s="84"/>
      <c r="I260" s="84">
        <f t="shared" si="70"/>
        <v>1255.2</v>
      </c>
      <c r="J260" s="84"/>
      <c r="K260" s="84"/>
      <c r="L260" s="84">
        <f t="shared" si="71"/>
        <v>1255.2</v>
      </c>
      <c r="M260" s="84">
        <v>58</v>
      </c>
      <c r="N260" s="84"/>
      <c r="O260" s="84">
        <f t="shared" si="72"/>
        <v>1313.2</v>
      </c>
      <c r="P260" s="55"/>
      <c r="Q260" s="53">
        <f t="shared" si="59"/>
        <v>1313.2</v>
      </c>
    </row>
    <row r="261" spans="1:17" ht="12.75">
      <c r="A261" s="20" t="s">
        <v>288</v>
      </c>
      <c r="B261" s="101">
        <v>4000</v>
      </c>
      <c r="C261" s="84"/>
      <c r="D261" s="84"/>
      <c r="E261" s="84">
        <v>2229.9</v>
      </c>
      <c r="F261" s="84">
        <f t="shared" si="69"/>
        <v>2229.9</v>
      </c>
      <c r="G261" s="84"/>
      <c r="H261" s="84"/>
      <c r="I261" s="84">
        <f t="shared" si="70"/>
        <v>2229.9</v>
      </c>
      <c r="J261" s="84"/>
      <c r="K261" s="84"/>
      <c r="L261" s="84">
        <f t="shared" si="71"/>
        <v>2229.9</v>
      </c>
      <c r="M261" s="84"/>
      <c r="N261" s="84"/>
      <c r="O261" s="84">
        <f t="shared" si="72"/>
        <v>2229.9</v>
      </c>
      <c r="P261" s="55"/>
      <c r="Q261" s="53">
        <f t="shared" si="59"/>
        <v>2229.9</v>
      </c>
    </row>
    <row r="262" spans="1:17" ht="12.75">
      <c r="A262" s="11" t="s">
        <v>285</v>
      </c>
      <c r="B262" s="100">
        <v>2100</v>
      </c>
      <c r="C262" s="84"/>
      <c r="D262" s="84"/>
      <c r="E262" s="84">
        <v>353.9</v>
      </c>
      <c r="F262" s="84">
        <f t="shared" si="69"/>
        <v>353.9</v>
      </c>
      <c r="G262" s="84"/>
      <c r="H262" s="84"/>
      <c r="I262" s="84">
        <f t="shared" si="70"/>
        <v>353.9</v>
      </c>
      <c r="J262" s="84"/>
      <c r="K262" s="84"/>
      <c r="L262" s="84">
        <f t="shared" si="71"/>
        <v>353.9</v>
      </c>
      <c r="M262" s="84">
        <f>234+128</f>
        <v>362</v>
      </c>
      <c r="N262" s="84"/>
      <c r="O262" s="84">
        <f t="shared" si="72"/>
        <v>715.9</v>
      </c>
      <c r="P262" s="55"/>
      <c r="Q262" s="53">
        <f t="shared" si="59"/>
        <v>715.9</v>
      </c>
    </row>
    <row r="263" spans="1:17" ht="12.75">
      <c r="A263" s="11" t="s">
        <v>304</v>
      </c>
      <c r="B263" s="100"/>
      <c r="C263" s="84"/>
      <c r="D263" s="84"/>
      <c r="E263" s="84"/>
      <c r="F263" s="84">
        <f t="shared" si="69"/>
        <v>0</v>
      </c>
      <c r="G263" s="84">
        <v>26.1</v>
      </c>
      <c r="H263" s="84"/>
      <c r="I263" s="84">
        <f t="shared" si="70"/>
        <v>26.1</v>
      </c>
      <c r="J263" s="84"/>
      <c r="K263" s="84"/>
      <c r="L263" s="84">
        <f t="shared" si="71"/>
        <v>26.1</v>
      </c>
      <c r="M263" s="84"/>
      <c r="N263" s="84"/>
      <c r="O263" s="84">
        <f t="shared" si="72"/>
        <v>26.1</v>
      </c>
      <c r="P263" s="55"/>
      <c r="Q263" s="53"/>
    </row>
    <row r="264" spans="1:17" ht="12.75">
      <c r="A264" s="20" t="s">
        <v>292</v>
      </c>
      <c r="B264" s="101">
        <v>4100</v>
      </c>
      <c r="C264" s="84"/>
      <c r="D264" s="84"/>
      <c r="E264" s="84">
        <v>1732.9</v>
      </c>
      <c r="F264" s="84">
        <f t="shared" si="69"/>
        <v>1732.9</v>
      </c>
      <c r="G264" s="84"/>
      <c r="H264" s="84"/>
      <c r="I264" s="84">
        <f t="shared" si="70"/>
        <v>1732.9</v>
      </c>
      <c r="J264" s="84"/>
      <c r="K264" s="84"/>
      <c r="L264" s="84">
        <f t="shared" si="71"/>
        <v>1732.9</v>
      </c>
      <c r="M264" s="84"/>
      <c r="N264" s="84"/>
      <c r="O264" s="84">
        <f t="shared" si="72"/>
        <v>1732.9</v>
      </c>
      <c r="P264" s="55"/>
      <c r="Q264" s="53">
        <f t="shared" si="59"/>
        <v>1732.9</v>
      </c>
    </row>
    <row r="265" spans="1:17" ht="12.75">
      <c r="A265" s="20" t="s">
        <v>286</v>
      </c>
      <c r="B265" s="101">
        <v>2200</v>
      </c>
      <c r="C265" s="84"/>
      <c r="D265" s="84"/>
      <c r="E265" s="84">
        <v>2.4</v>
      </c>
      <c r="F265" s="84">
        <f t="shared" si="69"/>
        <v>2.4</v>
      </c>
      <c r="G265" s="84"/>
      <c r="H265" s="84"/>
      <c r="I265" s="84">
        <f t="shared" si="70"/>
        <v>2.4</v>
      </c>
      <c r="J265" s="84"/>
      <c r="K265" s="84"/>
      <c r="L265" s="84">
        <f t="shared" si="71"/>
        <v>2.4</v>
      </c>
      <c r="M265" s="84"/>
      <c r="N265" s="84"/>
      <c r="O265" s="84">
        <f t="shared" si="72"/>
        <v>2.4</v>
      </c>
      <c r="P265" s="55"/>
      <c r="Q265" s="53">
        <f t="shared" si="59"/>
        <v>2.4</v>
      </c>
    </row>
    <row r="266" spans="1:17" ht="12.75">
      <c r="A266" s="20" t="s">
        <v>293</v>
      </c>
      <c r="B266" s="101">
        <v>4200</v>
      </c>
      <c r="C266" s="84"/>
      <c r="D266" s="84"/>
      <c r="E266" s="84">
        <v>1785</v>
      </c>
      <c r="F266" s="84">
        <f t="shared" si="69"/>
        <v>1785</v>
      </c>
      <c r="G266" s="84"/>
      <c r="H266" s="84"/>
      <c r="I266" s="84">
        <f t="shared" si="70"/>
        <v>1785</v>
      </c>
      <c r="J266" s="84">
        <f>4.9</f>
        <v>4.9</v>
      </c>
      <c r="K266" s="84"/>
      <c r="L266" s="84">
        <f t="shared" si="71"/>
        <v>1789.9</v>
      </c>
      <c r="M266" s="84"/>
      <c r="N266" s="84"/>
      <c r="O266" s="84">
        <f t="shared" si="72"/>
        <v>1789.9</v>
      </c>
      <c r="P266" s="55"/>
      <c r="Q266" s="53">
        <f t="shared" si="59"/>
        <v>1789.9</v>
      </c>
    </row>
    <row r="267" spans="1:17" ht="12.75">
      <c r="A267" s="21" t="s">
        <v>287</v>
      </c>
      <c r="B267" s="104">
        <v>2300</v>
      </c>
      <c r="C267" s="88"/>
      <c r="D267" s="88"/>
      <c r="E267" s="88">
        <v>59</v>
      </c>
      <c r="F267" s="88">
        <f t="shared" si="69"/>
        <v>59</v>
      </c>
      <c r="G267" s="88"/>
      <c r="H267" s="88"/>
      <c r="I267" s="88">
        <f t="shared" si="70"/>
        <v>59</v>
      </c>
      <c r="J267" s="88"/>
      <c r="K267" s="88"/>
      <c r="L267" s="88">
        <f t="shared" si="71"/>
        <v>59</v>
      </c>
      <c r="M267" s="88">
        <f>10+3.2</f>
        <v>13.2</v>
      </c>
      <c r="N267" s="88"/>
      <c r="O267" s="88">
        <f t="shared" si="72"/>
        <v>72.2</v>
      </c>
      <c r="P267" s="55"/>
      <c r="Q267" s="53">
        <f t="shared" si="59"/>
        <v>72.2</v>
      </c>
    </row>
    <row r="268" spans="1:17" ht="12.75" hidden="1">
      <c r="A268" s="11" t="s">
        <v>92</v>
      </c>
      <c r="B268" s="100"/>
      <c r="C268" s="84"/>
      <c r="D268" s="84"/>
      <c r="E268" s="84"/>
      <c r="F268" s="84">
        <f t="shared" si="69"/>
        <v>0</v>
      </c>
      <c r="G268" s="84"/>
      <c r="H268" s="84"/>
      <c r="I268" s="84">
        <f t="shared" si="70"/>
        <v>0</v>
      </c>
      <c r="J268" s="84"/>
      <c r="K268" s="84"/>
      <c r="L268" s="84">
        <f t="shared" si="71"/>
        <v>0</v>
      </c>
      <c r="M268" s="84"/>
      <c r="N268" s="84"/>
      <c r="O268" s="84">
        <f t="shared" si="72"/>
        <v>0</v>
      </c>
      <c r="P268" s="55"/>
      <c r="Q268" s="53">
        <f t="shared" si="59"/>
        <v>0</v>
      </c>
    </row>
    <row r="269" spans="1:17" ht="12.75" hidden="1">
      <c r="A269" s="11" t="s">
        <v>76</v>
      </c>
      <c r="B269" s="100"/>
      <c r="C269" s="84"/>
      <c r="D269" s="84"/>
      <c r="E269" s="84"/>
      <c r="F269" s="84">
        <f t="shared" si="69"/>
        <v>0</v>
      </c>
      <c r="G269" s="84"/>
      <c r="H269" s="84"/>
      <c r="I269" s="84">
        <f t="shared" si="70"/>
        <v>0</v>
      </c>
      <c r="J269" s="84"/>
      <c r="K269" s="84"/>
      <c r="L269" s="84">
        <f t="shared" si="71"/>
        <v>0</v>
      </c>
      <c r="M269" s="84"/>
      <c r="N269" s="84"/>
      <c r="O269" s="84">
        <f t="shared" si="72"/>
        <v>0</v>
      </c>
      <c r="P269" s="55"/>
      <c r="Q269" s="53">
        <f t="shared" si="59"/>
        <v>0</v>
      </c>
    </row>
    <row r="270" spans="1:17" ht="12.75" hidden="1">
      <c r="A270" s="14" t="s">
        <v>104</v>
      </c>
      <c r="B270" s="105"/>
      <c r="C270" s="88"/>
      <c r="D270" s="88"/>
      <c r="E270" s="88"/>
      <c r="F270" s="88">
        <f t="shared" si="69"/>
        <v>0</v>
      </c>
      <c r="G270" s="88"/>
      <c r="H270" s="88"/>
      <c r="I270" s="88">
        <f t="shared" si="70"/>
        <v>0</v>
      </c>
      <c r="J270" s="88"/>
      <c r="K270" s="88"/>
      <c r="L270" s="88">
        <f t="shared" si="71"/>
        <v>0</v>
      </c>
      <c r="M270" s="88"/>
      <c r="N270" s="88"/>
      <c r="O270" s="88">
        <f t="shared" si="72"/>
        <v>0</v>
      </c>
      <c r="P270" s="68"/>
      <c r="Q270" s="69">
        <f t="shared" si="59"/>
        <v>0</v>
      </c>
    </row>
    <row r="271" spans="1:17" ht="12.75">
      <c r="A271" s="8" t="s">
        <v>116</v>
      </c>
      <c r="B271" s="8"/>
      <c r="C271" s="83">
        <f aca="true" t="shared" si="73" ref="C271:O271">C272+C315</f>
        <v>346639</v>
      </c>
      <c r="D271" s="83">
        <f t="shared" si="73"/>
        <v>0</v>
      </c>
      <c r="E271" s="83">
        <f t="shared" si="73"/>
        <v>0</v>
      </c>
      <c r="F271" s="83">
        <f t="shared" si="73"/>
        <v>346639</v>
      </c>
      <c r="G271" s="83">
        <f t="shared" si="73"/>
        <v>4359865.9</v>
      </c>
      <c r="H271" s="83">
        <f t="shared" si="73"/>
        <v>-2490.0999999999995</v>
      </c>
      <c r="I271" s="83">
        <f t="shared" si="73"/>
        <v>4704014.8</v>
      </c>
      <c r="J271" s="83">
        <f t="shared" si="73"/>
        <v>71972.90000000001</v>
      </c>
      <c r="K271" s="83">
        <f t="shared" si="73"/>
        <v>2092.5</v>
      </c>
      <c r="L271" s="83">
        <f t="shared" si="73"/>
        <v>4778080.199999999</v>
      </c>
      <c r="M271" s="83">
        <f t="shared" si="73"/>
        <v>63310.100000000006</v>
      </c>
      <c r="N271" s="83">
        <f t="shared" si="73"/>
        <v>0</v>
      </c>
      <c r="O271" s="83">
        <f t="shared" si="73"/>
        <v>4841390.3</v>
      </c>
      <c r="P271" s="56"/>
      <c r="Q271" s="38">
        <f>Q272+Q315</f>
        <v>4810191.399999999</v>
      </c>
    </row>
    <row r="272" spans="1:17" ht="12.75">
      <c r="A272" s="17" t="s">
        <v>69</v>
      </c>
      <c r="B272" s="17"/>
      <c r="C272" s="87">
        <f aca="true" t="shared" si="74" ref="C272:O272">SUM(C274:C314)</f>
        <v>346639</v>
      </c>
      <c r="D272" s="87">
        <f t="shared" si="74"/>
        <v>0</v>
      </c>
      <c r="E272" s="87">
        <f t="shared" si="74"/>
        <v>0</v>
      </c>
      <c r="F272" s="87">
        <f t="shared" si="74"/>
        <v>346639</v>
      </c>
      <c r="G272" s="87">
        <f t="shared" si="74"/>
        <v>4359865.9</v>
      </c>
      <c r="H272" s="87">
        <f t="shared" si="74"/>
        <v>-2490.0999999999995</v>
      </c>
      <c r="I272" s="87">
        <f t="shared" si="74"/>
        <v>4704014.8</v>
      </c>
      <c r="J272" s="87">
        <f t="shared" si="74"/>
        <v>71972.90000000001</v>
      </c>
      <c r="K272" s="87">
        <f t="shared" si="74"/>
        <v>2092.5</v>
      </c>
      <c r="L272" s="87">
        <f t="shared" si="74"/>
        <v>4778080.199999999</v>
      </c>
      <c r="M272" s="87">
        <f t="shared" si="74"/>
        <v>63310.100000000006</v>
      </c>
      <c r="N272" s="87">
        <f t="shared" si="74"/>
        <v>0</v>
      </c>
      <c r="O272" s="87">
        <f t="shared" si="74"/>
        <v>4841390.3</v>
      </c>
      <c r="P272" s="60"/>
      <c r="Q272" s="39">
        <f>SUM(Q274:Q314)</f>
        <v>4810191.399999999</v>
      </c>
    </row>
    <row r="273" spans="1:17" ht="12.75">
      <c r="A273" s="9" t="s">
        <v>38</v>
      </c>
      <c r="B273" s="9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55"/>
      <c r="Q273" s="53"/>
    </row>
    <row r="274" spans="1:17" ht="12.75">
      <c r="A274" s="15" t="s">
        <v>100</v>
      </c>
      <c r="B274" s="15"/>
      <c r="C274" s="84">
        <v>325745</v>
      </c>
      <c r="D274" s="84"/>
      <c r="E274" s="84"/>
      <c r="F274" s="84">
        <f>C274+D274+E274</f>
        <v>325745</v>
      </c>
      <c r="G274" s="84">
        <v>660</v>
      </c>
      <c r="H274" s="84">
        <v>1726.8</v>
      </c>
      <c r="I274" s="84">
        <f>F274+G274+H274</f>
        <v>328131.8</v>
      </c>
      <c r="J274" s="84">
        <v>400</v>
      </c>
      <c r="K274" s="84">
        <v>4525.8</v>
      </c>
      <c r="L274" s="84">
        <f>I274+J274+K274</f>
        <v>333057.6</v>
      </c>
      <c r="M274" s="84"/>
      <c r="N274" s="84"/>
      <c r="O274" s="84">
        <f>L274+M274+N274</f>
        <v>333057.6</v>
      </c>
      <c r="P274" s="55"/>
      <c r="Q274" s="53">
        <f aca="true" t="shared" si="75" ref="Q274:Q321">O274+P274</f>
        <v>333057.6</v>
      </c>
    </row>
    <row r="275" spans="1:17" ht="12.75">
      <c r="A275" s="15" t="s">
        <v>117</v>
      </c>
      <c r="B275" s="15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55"/>
      <c r="Q275" s="53"/>
    </row>
    <row r="276" spans="1:17" ht="12.75">
      <c r="A276" s="15" t="s">
        <v>118</v>
      </c>
      <c r="B276" s="15"/>
      <c r="C276" s="84"/>
      <c r="D276" s="84"/>
      <c r="E276" s="84"/>
      <c r="F276" s="84">
        <f aca="true" t="shared" si="76" ref="F276:F314">C276+D276+E276</f>
        <v>0</v>
      </c>
      <c r="G276" s="84">
        <v>1546420</v>
      </c>
      <c r="H276" s="84"/>
      <c r="I276" s="84">
        <f aca="true" t="shared" si="77" ref="I276:I314">F276+G276+H276</f>
        <v>1546420</v>
      </c>
      <c r="J276" s="84"/>
      <c r="K276" s="84"/>
      <c r="L276" s="84">
        <f aca="true" t="shared" si="78" ref="L276:L314">I276+J276+K276</f>
        <v>1546420</v>
      </c>
      <c r="M276" s="84"/>
      <c r="N276" s="84"/>
      <c r="O276" s="84">
        <f aca="true" t="shared" si="79" ref="O276:O314">L276+M276+N276</f>
        <v>1546420</v>
      </c>
      <c r="P276" s="55"/>
      <c r="Q276" s="53">
        <f t="shared" si="75"/>
        <v>1546420</v>
      </c>
    </row>
    <row r="277" spans="1:17" ht="12.75">
      <c r="A277" s="15" t="s">
        <v>119</v>
      </c>
      <c r="B277" s="15"/>
      <c r="C277" s="84"/>
      <c r="D277" s="84"/>
      <c r="E277" s="84"/>
      <c r="F277" s="84">
        <f t="shared" si="76"/>
        <v>0</v>
      </c>
      <c r="G277" s="84">
        <v>48790</v>
      </c>
      <c r="H277" s="84"/>
      <c r="I277" s="84">
        <f t="shared" si="77"/>
        <v>48790</v>
      </c>
      <c r="J277" s="84">
        <v>48160</v>
      </c>
      <c r="K277" s="84"/>
      <c r="L277" s="84">
        <f t="shared" si="78"/>
        <v>96950</v>
      </c>
      <c r="M277" s="84">
        <v>48470</v>
      </c>
      <c r="N277" s="84"/>
      <c r="O277" s="84">
        <f t="shared" si="79"/>
        <v>145420</v>
      </c>
      <c r="P277" s="55"/>
      <c r="Q277" s="53">
        <f t="shared" si="75"/>
        <v>145420</v>
      </c>
    </row>
    <row r="278" spans="1:17" ht="12.75">
      <c r="A278" s="15" t="s">
        <v>120</v>
      </c>
      <c r="B278" s="15"/>
      <c r="C278" s="84"/>
      <c r="D278" s="91"/>
      <c r="E278" s="84"/>
      <c r="F278" s="84">
        <f t="shared" si="76"/>
        <v>0</v>
      </c>
      <c r="G278" s="84">
        <v>2753069</v>
      </c>
      <c r="H278" s="84"/>
      <c r="I278" s="84">
        <f t="shared" si="77"/>
        <v>2753069</v>
      </c>
      <c r="J278" s="84"/>
      <c r="K278" s="84"/>
      <c r="L278" s="84">
        <f t="shared" si="78"/>
        <v>2753069</v>
      </c>
      <c r="M278" s="84"/>
      <c r="N278" s="84"/>
      <c r="O278" s="84">
        <f t="shared" si="79"/>
        <v>2753069</v>
      </c>
      <c r="P278" s="55"/>
      <c r="Q278" s="53">
        <f t="shared" si="75"/>
        <v>2753069</v>
      </c>
    </row>
    <row r="279" spans="1:19" ht="12.75">
      <c r="A279" s="15" t="s">
        <v>121</v>
      </c>
      <c r="B279" s="15">
        <v>33122</v>
      </c>
      <c r="C279" s="84"/>
      <c r="D279" s="84"/>
      <c r="E279" s="84"/>
      <c r="F279" s="84">
        <f t="shared" si="76"/>
        <v>0</v>
      </c>
      <c r="G279" s="84"/>
      <c r="H279" s="84"/>
      <c r="I279" s="84">
        <f t="shared" si="77"/>
        <v>0</v>
      </c>
      <c r="J279" s="84">
        <v>296.7</v>
      </c>
      <c r="K279" s="84"/>
      <c r="L279" s="84">
        <f t="shared" si="78"/>
        <v>296.7</v>
      </c>
      <c r="M279" s="84"/>
      <c r="N279" s="84"/>
      <c r="O279" s="84">
        <f t="shared" si="79"/>
        <v>296.7</v>
      </c>
      <c r="P279" s="55"/>
      <c r="Q279" s="53">
        <f t="shared" si="75"/>
        <v>296.7</v>
      </c>
      <c r="S279" s="36"/>
    </row>
    <row r="280" spans="1:17" ht="12.75" hidden="1">
      <c r="A280" s="15" t="s">
        <v>122</v>
      </c>
      <c r="B280" s="15"/>
      <c r="C280" s="84"/>
      <c r="D280" s="84"/>
      <c r="E280" s="84"/>
      <c r="F280" s="84">
        <f t="shared" si="76"/>
        <v>0</v>
      </c>
      <c r="G280" s="84"/>
      <c r="H280" s="84"/>
      <c r="I280" s="84">
        <f t="shared" si="77"/>
        <v>0</v>
      </c>
      <c r="J280" s="84"/>
      <c r="K280" s="84"/>
      <c r="L280" s="84">
        <f t="shared" si="78"/>
        <v>0</v>
      </c>
      <c r="M280" s="84"/>
      <c r="N280" s="84"/>
      <c r="O280" s="84">
        <f t="shared" si="79"/>
        <v>0</v>
      </c>
      <c r="P280" s="55"/>
      <c r="Q280" s="53">
        <f t="shared" si="75"/>
        <v>0</v>
      </c>
    </row>
    <row r="281" spans="1:17" ht="12.75" hidden="1">
      <c r="A281" s="15" t="s">
        <v>238</v>
      </c>
      <c r="B281" s="15"/>
      <c r="C281" s="84"/>
      <c r="D281" s="84"/>
      <c r="E281" s="84"/>
      <c r="F281" s="84">
        <f t="shared" si="76"/>
        <v>0</v>
      </c>
      <c r="G281" s="84"/>
      <c r="H281" s="84"/>
      <c r="I281" s="84">
        <f t="shared" si="77"/>
        <v>0</v>
      </c>
      <c r="J281" s="84"/>
      <c r="K281" s="84"/>
      <c r="L281" s="84">
        <f t="shared" si="78"/>
        <v>0</v>
      </c>
      <c r="M281" s="84"/>
      <c r="N281" s="84"/>
      <c r="O281" s="84">
        <f t="shared" si="79"/>
        <v>0</v>
      </c>
      <c r="P281" s="55"/>
      <c r="Q281" s="53">
        <f t="shared" si="75"/>
        <v>0</v>
      </c>
    </row>
    <row r="282" spans="1:17" ht="12.75" hidden="1">
      <c r="A282" s="15" t="s">
        <v>123</v>
      </c>
      <c r="B282" s="15"/>
      <c r="C282" s="84"/>
      <c r="D282" s="84"/>
      <c r="E282" s="84"/>
      <c r="F282" s="84">
        <f t="shared" si="76"/>
        <v>0</v>
      </c>
      <c r="G282" s="84"/>
      <c r="H282" s="84"/>
      <c r="I282" s="84">
        <f t="shared" si="77"/>
        <v>0</v>
      </c>
      <c r="J282" s="84"/>
      <c r="K282" s="84"/>
      <c r="L282" s="84">
        <f t="shared" si="78"/>
        <v>0</v>
      </c>
      <c r="M282" s="84"/>
      <c r="N282" s="84"/>
      <c r="O282" s="84">
        <f t="shared" si="79"/>
        <v>0</v>
      </c>
      <c r="P282" s="55"/>
      <c r="Q282" s="53">
        <f t="shared" si="75"/>
        <v>0</v>
      </c>
    </row>
    <row r="283" spans="1:17" ht="12.75" hidden="1">
      <c r="A283" s="15" t="s">
        <v>192</v>
      </c>
      <c r="B283" s="15"/>
      <c r="C283" s="84"/>
      <c r="D283" s="84"/>
      <c r="E283" s="84"/>
      <c r="F283" s="84">
        <f t="shared" si="76"/>
        <v>0</v>
      </c>
      <c r="G283" s="84"/>
      <c r="H283" s="84"/>
      <c r="I283" s="84">
        <f t="shared" si="77"/>
        <v>0</v>
      </c>
      <c r="J283" s="84"/>
      <c r="K283" s="84"/>
      <c r="L283" s="84">
        <f t="shared" si="78"/>
        <v>0</v>
      </c>
      <c r="M283" s="84"/>
      <c r="N283" s="84"/>
      <c r="O283" s="84">
        <f t="shared" si="79"/>
        <v>0</v>
      </c>
      <c r="P283" s="55"/>
      <c r="Q283" s="53">
        <f t="shared" si="75"/>
        <v>0</v>
      </c>
    </row>
    <row r="284" spans="1:17" ht="12.75" hidden="1">
      <c r="A284" s="15" t="s">
        <v>124</v>
      </c>
      <c r="B284" s="15"/>
      <c r="C284" s="84"/>
      <c r="D284" s="84"/>
      <c r="E284" s="84"/>
      <c r="F284" s="84">
        <f t="shared" si="76"/>
        <v>0</v>
      </c>
      <c r="G284" s="84"/>
      <c r="H284" s="84"/>
      <c r="I284" s="84">
        <f t="shared" si="77"/>
        <v>0</v>
      </c>
      <c r="J284" s="84"/>
      <c r="K284" s="84"/>
      <c r="L284" s="84">
        <f t="shared" si="78"/>
        <v>0</v>
      </c>
      <c r="M284" s="84"/>
      <c r="N284" s="84"/>
      <c r="O284" s="84">
        <f t="shared" si="79"/>
        <v>0</v>
      </c>
      <c r="P284" s="55"/>
      <c r="Q284" s="53">
        <f t="shared" si="75"/>
        <v>0</v>
      </c>
    </row>
    <row r="285" spans="1:17" ht="12.75">
      <c r="A285" s="15" t="s">
        <v>125</v>
      </c>
      <c r="B285" s="106">
        <v>33215.33457</v>
      </c>
      <c r="C285" s="84"/>
      <c r="D285" s="84"/>
      <c r="E285" s="84"/>
      <c r="F285" s="84">
        <f t="shared" si="76"/>
        <v>0</v>
      </c>
      <c r="G285" s="84">
        <v>5119.4</v>
      </c>
      <c r="H285" s="84"/>
      <c r="I285" s="84">
        <f t="shared" si="77"/>
        <v>5119.4</v>
      </c>
      <c r="J285" s="84">
        <f>5993.1+26.7</f>
        <v>6019.8</v>
      </c>
      <c r="K285" s="84"/>
      <c r="L285" s="84">
        <f t="shared" si="78"/>
        <v>11139.2</v>
      </c>
      <c r="M285" s="84">
        <v>-309.5</v>
      </c>
      <c r="N285" s="84"/>
      <c r="O285" s="84">
        <f t="shared" si="79"/>
        <v>10829.7</v>
      </c>
      <c r="P285" s="55"/>
      <c r="Q285" s="53">
        <f t="shared" si="75"/>
        <v>10829.7</v>
      </c>
    </row>
    <row r="286" spans="1:17" ht="12.75" hidden="1">
      <c r="A286" s="15" t="s">
        <v>235</v>
      </c>
      <c r="B286" s="15"/>
      <c r="C286" s="84"/>
      <c r="D286" s="84"/>
      <c r="E286" s="84"/>
      <c r="F286" s="84">
        <f t="shared" si="76"/>
        <v>0</v>
      </c>
      <c r="G286" s="84"/>
      <c r="H286" s="84"/>
      <c r="I286" s="84">
        <f t="shared" si="77"/>
        <v>0</v>
      </c>
      <c r="J286" s="84"/>
      <c r="K286" s="84"/>
      <c r="L286" s="84">
        <f t="shared" si="78"/>
        <v>0</v>
      </c>
      <c r="M286" s="84"/>
      <c r="N286" s="84"/>
      <c r="O286" s="84">
        <f t="shared" si="79"/>
        <v>0</v>
      </c>
      <c r="P286" s="55"/>
      <c r="Q286" s="53">
        <f t="shared" si="75"/>
        <v>0</v>
      </c>
    </row>
    <row r="287" spans="1:17" ht="12.75" hidden="1">
      <c r="A287" s="32" t="s">
        <v>232</v>
      </c>
      <c r="B287" s="32"/>
      <c r="C287" s="84"/>
      <c r="D287" s="84"/>
      <c r="E287" s="84"/>
      <c r="F287" s="84">
        <f t="shared" si="76"/>
        <v>0</v>
      </c>
      <c r="G287" s="84"/>
      <c r="H287" s="84"/>
      <c r="I287" s="84">
        <f t="shared" si="77"/>
        <v>0</v>
      </c>
      <c r="J287" s="84"/>
      <c r="K287" s="84"/>
      <c r="L287" s="84">
        <f t="shared" si="78"/>
        <v>0</v>
      </c>
      <c r="M287" s="84"/>
      <c r="N287" s="84"/>
      <c r="O287" s="84">
        <f t="shared" si="79"/>
        <v>0</v>
      </c>
      <c r="P287" s="55"/>
      <c r="Q287" s="53">
        <f t="shared" si="75"/>
        <v>0</v>
      </c>
    </row>
    <row r="288" spans="1:17" ht="12.75" hidden="1">
      <c r="A288" s="32" t="s">
        <v>245</v>
      </c>
      <c r="B288" s="32"/>
      <c r="C288" s="84"/>
      <c r="D288" s="84"/>
      <c r="E288" s="84"/>
      <c r="F288" s="84">
        <f t="shared" si="76"/>
        <v>0</v>
      </c>
      <c r="G288" s="84"/>
      <c r="H288" s="84"/>
      <c r="I288" s="84">
        <f t="shared" si="77"/>
        <v>0</v>
      </c>
      <c r="J288" s="84"/>
      <c r="K288" s="84"/>
      <c r="L288" s="84">
        <f t="shared" si="78"/>
        <v>0</v>
      </c>
      <c r="M288" s="84"/>
      <c r="N288" s="84"/>
      <c r="O288" s="84">
        <f t="shared" si="79"/>
        <v>0</v>
      </c>
      <c r="P288" s="55"/>
      <c r="Q288" s="53">
        <f t="shared" si="75"/>
        <v>0</v>
      </c>
    </row>
    <row r="289" spans="1:17" ht="12.75">
      <c r="A289" s="15" t="s">
        <v>231</v>
      </c>
      <c r="B289" s="107">
        <v>33435</v>
      </c>
      <c r="C289" s="84"/>
      <c r="D289" s="84"/>
      <c r="E289" s="84"/>
      <c r="F289" s="84">
        <f t="shared" si="76"/>
        <v>0</v>
      </c>
      <c r="G289" s="84">
        <v>1292</v>
      </c>
      <c r="H289" s="84"/>
      <c r="I289" s="84">
        <f t="shared" si="77"/>
        <v>1292</v>
      </c>
      <c r="J289" s="84"/>
      <c r="K289" s="84"/>
      <c r="L289" s="84">
        <f t="shared" si="78"/>
        <v>1292</v>
      </c>
      <c r="M289" s="84"/>
      <c r="N289" s="84"/>
      <c r="O289" s="84">
        <f t="shared" si="79"/>
        <v>1292</v>
      </c>
      <c r="P289" s="55"/>
      <c r="Q289" s="53">
        <f t="shared" si="75"/>
        <v>1292</v>
      </c>
    </row>
    <row r="290" spans="1:17" ht="12.75">
      <c r="A290" s="32" t="s">
        <v>311</v>
      </c>
      <c r="B290" s="108">
        <v>33024</v>
      </c>
      <c r="C290" s="84"/>
      <c r="D290" s="84"/>
      <c r="E290" s="84"/>
      <c r="F290" s="84">
        <f t="shared" si="76"/>
        <v>0</v>
      </c>
      <c r="G290" s="84">
        <v>144</v>
      </c>
      <c r="H290" s="84"/>
      <c r="I290" s="84">
        <f t="shared" si="77"/>
        <v>144</v>
      </c>
      <c r="J290" s="84"/>
      <c r="K290" s="84"/>
      <c r="L290" s="84">
        <f t="shared" si="78"/>
        <v>144</v>
      </c>
      <c r="M290" s="84"/>
      <c r="N290" s="84"/>
      <c r="O290" s="84">
        <f t="shared" si="79"/>
        <v>144</v>
      </c>
      <c r="P290" s="55"/>
      <c r="Q290" s="53">
        <f t="shared" si="75"/>
        <v>144</v>
      </c>
    </row>
    <row r="291" spans="1:17" ht="12.75">
      <c r="A291" s="32" t="s">
        <v>244</v>
      </c>
      <c r="B291" s="108">
        <v>33018</v>
      </c>
      <c r="C291" s="84"/>
      <c r="D291" s="84"/>
      <c r="E291" s="84"/>
      <c r="F291" s="84">
        <f t="shared" si="76"/>
        <v>0</v>
      </c>
      <c r="G291" s="84"/>
      <c r="H291" s="84"/>
      <c r="I291" s="84">
        <f t="shared" si="77"/>
        <v>0</v>
      </c>
      <c r="J291" s="84"/>
      <c r="K291" s="84"/>
      <c r="L291" s="84">
        <f t="shared" si="78"/>
        <v>0</v>
      </c>
      <c r="M291" s="84">
        <v>121.4</v>
      </c>
      <c r="N291" s="84"/>
      <c r="O291" s="84">
        <f t="shared" si="79"/>
        <v>121.4</v>
      </c>
      <c r="P291" s="55"/>
      <c r="Q291" s="53">
        <f t="shared" si="75"/>
        <v>121.4</v>
      </c>
    </row>
    <row r="292" spans="1:17" ht="12.75" hidden="1">
      <c r="A292" s="13" t="s">
        <v>246</v>
      </c>
      <c r="B292" s="109"/>
      <c r="C292" s="84"/>
      <c r="D292" s="84"/>
      <c r="E292" s="84"/>
      <c r="F292" s="84">
        <f t="shared" si="76"/>
        <v>0</v>
      </c>
      <c r="G292" s="84"/>
      <c r="H292" s="84"/>
      <c r="I292" s="84">
        <f t="shared" si="77"/>
        <v>0</v>
      </c>
      <c r="J292" s="84"/>
      <c r="K292" s="84"/>
      <c r="L292" s="84">
        <f t="shared" si="78"/>
        <v>0</v>
      </c>
      <c r="M292" s="84"/>
      <c r="N292" s="84"/>
      <c r="O292" s="84">
        <f t="shared" si="79"/>
        <v>0</v>
      </c>
      <c r="P292" s="55"/>
      <c r="Q292" s="53">
        <f t="shared" si="75"/>
        <v>0</v>
      </c>
    </row>
    <row r="293" spans="1:17" ht="12.75">
      <c r="A293" s="32" t="s">
        <v>362</v>
      </c>
      <c r="B293" s="108">
        <v>33160</v>
      </c>
      <c r="C293" s="84"/>
      <c r="D293" s="84"/>
      <c r="E293" s="84"/>
      <c r="F293" s="84">
        <f t="shared" si="76"/>
        <v>0</v>
      </c>
      <c r="G293" s="84"/>
      <c r="H293" s="84"/>
      <c r="I293" s="84">
        <f t="shared" si="77"/>
        <v>0</v>
      </c>
      <c r="J293" s="84"/>
      <c r="K293" s="84">
        <v>163.3</v>
      </c>
      <c r="L293" s="84">
        <f t="shared" si="78"/>
        <v>163.3</v>
      </c>
      <c r="M293" s="84">
        <v>-70.2</v>
      </c>
      <c r="N293" s="84"/>
      <c r="O293" s="84">
        <f t="shared" si="79"/>
        <v>93.10000000000001</v>
      </c>
      <c r="P293" s="55"/>
      <c r="Q293" s="53">
        <f t="shared" si="75"/>
        <v>93.10000000000001</v>
      </c>
    </row>
    <row r="294" spans="1:17" ht="12.75" hidden="1">
      <c r="A294" s="15" t="s">
        <v>213</v>
      </c>
      <c r="B294" s="107"/>
      <c r="C294" s="84"/>
      <c r="D294" s="84"/>
      <c r="E294" s="84"/>
      <c r="F294" s="84">
        <f t="shared" si="76"/>
        <v>0</v>
      </c>
      <c r="G294" s="84"/>
      <c r="H294" s="84"/>
      <c r="I294" s="84">
        <f t="shared" si="77"/>
        <v>0</v>
      </c>
      <c r="J294" s="84"/>
      <c r="K294" s="84"/>
      <c r="L294" s="84">
        <f t="shared" si="78"/>
        <v>0</v>
      </c>
      <c r="M294" s="84"/>
      <c r="N294" s="84"/>
      <c r="O294" s="84">
        <f t="shared" si="79"/>
        <v>0</v>
      </c>
      <c r="P294" s="55"/>
      <c r="Q294" s="53">
        <f t="shared" si="75"/>
        <v>0</v>
      </c>
    </row>
    <row r="295" spans="1:17" ht="12.75">
      <c r="A295" s="15" t="s">
        <v>385</v>
      </c>
      <c r="B295" s="107">
        <v>33043</v>
      </c>
      <c r="C295" s="84"/>
      <c r="D295" s="84"/>
      <c r="E295" s="84"/>
      <c r="F295" s="84">
        <f t="shared" si="76"/>
        <v>0</v>
      </c>
      <c r="G295" s="84"/>
      <c r="H295" s="84"/>
      <c r="I295" s="84">
        <f t="shared" si="77"/>
        <v>0</v>
      </c>
      <c r="J295" s="84"/>
      <c r="K295" s="84"/>
      <c r="L295" s="84">
        <f t="shared" si="78"/>
        <v>0</v>
      </c>
      <c r="M295" s="84">
        <v>80.1</v>
      </c>
      <c r="N295" s="84"/>
      <c r="O295" s="84">
        <f t="shared" si="79"/>
        <v>80.1</v>
      </c>
      <c r="P295" s="55"/>
      <c r="Q295" s="53">
        <f t="shared" si="75"/>
        <v>80.1</v>
      </c>
    </row>
    <row r="296" spans="1:17" ht="12.75" hidden="1">
      <c r="A296" s="15" t="s">
        <v>126</v>
      </c>
      <c r="B296" s="107"/>
      <c r="C296" s="84"/>
      <c r="D296" s="84"/>
      <c r="E296" s="84"/>
      <c r="F296" s="84">
        <f t="shared" si="76"/>
        <v>0</v>
      </c>
      <c r="G296" s="84"/>
      <c r="H296" s="84"/>
      <c r="I296" s="84">
        <f t="shared" si="77"/>
        <v>0</v>
      </c>
      <c r="J296" s="84"/>
      <c r="K296" s="84"/>
      <c r="L296" s="84">
        <f t="shared" si="78"/>
        <v>0</v>
      </c>
      <c r="M296" s="84"/>
      <c r="N296" s="84"/>
      <c r="O296" s="84">
        <f t="shared" si="79"/>
        <v>0</v>
      </c>
      <c r="P296" s="55"/>
      <c r="Q296" s="53">
        <f t="shared" si="75"/>
        <v>0</v>
      </c>
    </row>
    <row r="297" spans="1:17" ht="12.75" hidden="1">
      <c r="A297" s="15" t="s">
        <v>184</v>
      </c>
      <c r="B297" s="107"/>
      <c r="C297" s="84"/>
      <c r="D297" s="84"/>
      <c r="E297" s="84"/>
      <c r="F297" s="84">
        <f t="shared" si="76"/>
        <v>0</v>
      </c>
      <c r="G297" s="84"/>
      <c r="H297" s="84"/>
      <c r="I297" s="84">
        <f t="shared" si="77"/>
        <v>0</v>
      </c>
      <c r="J297" s="84"/>
      <c r="K297" s="84"/>
      <c r="L297" s="84">
        <f t="shared" si="78"/>
        <v>0</v>
      </c>
      <c r="M297" s="84"/>
      <c r="N297" s="84"/>
      <c r="O297" s="84">
        <f t="shared" si="79"/>
        <v>0</v>
      </c>
      <c r="P297" s="55"/>
      <c r="Q297" s="53">
        <f t="shared" si="75"/>
        <v>0</v>
      </c>
    </row>
    <row r="298" spans="1:17" ht="12.75" hidden="1">
      <c r="A298" s="32" t="s">
        <v>183</v>
      </c>
      <c r="B298" s="108"/>
      <c r="C298" s="84"/>
      <c r="D298" s="84"/>
      <c r="E298" s="84"/>
      <c r="F298" s="84">
        <f t="shared" si="76"/>
        <v>0</v>
      </c>
      <c r="G298" s="84"/>
      <c r="H298" s="84"/>
      <c r="I298" s="84">
        <f t="shared" si="77"/>
        <v>0</v>
      </c>
      <c r="J298" s="84"/>
      <c r="K298" s="84"/>
      <c r="L298" s="84">
        <f t="shared" si="78"/>
        <v>0</v>
      </c>
      <c r="M298" s="84"/>
      <c r="N298" s="84"/>
      <c r="O298" s="84">
        <f t="shared" si="79"/>
        <v>0</v>
      </c>
      <c r="P298" s="55"/>
      <c r="Q298" s="53">
        <f t="shared" si="75"/>
        <v>0</v>
      </c>
    </row>
    <row r="299" spans="1:17" ht="12.75" hidden="1">
      <c r="A299" s="32" t="s">
        <v>212</v>
      </c>
      <c r="B299" s="108"/>
      <c r="C299" s="84"/>
      <c r="D299" s="84"/>
      <c r="E299" s="84"/>
      <c r="F299" s="84">
        <f t="shared" si="76"/>
        <v>0</v>
      </c>
      <c r="G299" s="84"/>
      <c r="H299" s="84"/>
      <c r="I299" s="84">
        <f t="shared" si="77"/>
        <v>0</v>
      </c>
      <c r="J299" s="84"/>
      <c r="K299" s="84"/>
      <c r="L299" s="84">
        <f t="shared" si="78"/>
        <v>0</v>
      </c>
      <c r="M299" s="84"/>
      <c r="N299" s="84"/>
      <c r="O299" s="84">
        <f t="shared" si="79"/>
        <v>0</v>
      </c>
      <c r="P299" s="55"/>
      <c r="Q299" s="53">
        <f t="shared" si="75"/>
        <v>0</v>
      </c>
    </row>
    <row r="300" spans="1:17" ht="12.75">
      <c r="A300" s="32" t="s">
        <v>364</v>
      </c>
      <c r="B300" s="108">
        <v>33040</v>
      </c>
      <c r="C300" s="84"/>
      <c r="D300" s="84"/>
      <c r="E300" s="84"/>
      <c r="F300" s="84"/>
      <c r="G300" s="84"/>
      <c r="H300" s="84"/>
      <c r="I300" s="84"/>
      <c r="J300" s="84"/>
      <c r="K300" s="84"/>
      <c r="L300" s="84">
        <f t="shared" si="78"/>
        <v>0</v>
      </c>
      <c r="M300" s="84">
        <v>100</v>
      </c>
      <c r="N300" s="84"/>
      <c r="O300" s="84">
        <f t="shared" si="79"/>
        <v>100</v>
      </c>
      <c r="P300" s="55"/>
      <c r="Q300" s="53"/>
    </row>
    <row r="301" spans="1:17" ht="12.75">
      <c r="A301" s="15" t="s">
        <v>127</v>
      </c>
      <c r="B301" s="107">
        <v>33025</v>
      </c>
      <c r="C301" s="84"/>
      <c r="D301" s="84"/>
      <c r="E301" s="84"/>
      <c r="F301" s="84">
        <f t="shared" si="76"/>
        <v>0</v>
      </c>
      <c r="G301" s="84"/>
      <c r="H301" s="84"/>
      <c r="I301" s="84">
        <f t="shared" si="77"/>
        <v>0</v>
      </c>
      <c r="J301" s="84">
        <v>330</v>
      </c>
      <c r="K301" s="84"/>
      <c r="L301" s="84">
        <f t="shared" si="78"/>
        <v>330</v>
      </c>
      <c r="M301" s="84"/>
      <c r="N301" s="84"/>
      <c r="O301" s="84">
        <f t="shared" si="79"/>
        <v>330</v>
      </c>
      <c r="P301" s="55"/>
      <c r="Q301" s="53">
        <f t="shared" si="75"/>
        <v>330</v>
      </c>
    </row>
    <row r="302" spans="1:17" ht="12.75">
      <c r="A302" s="15" t="s">
        <v>259</v>
      </c>
      <c r="B302" s="107">
        <v>33038</v>
      </c>
      <c r="C302" s="84"/>
      <c r="D302" s="84"/>
      <c r="E302" s="84"/>
      <c r="F302" s="84">
        <f t="shared" si="76"/>
        <v>0</v>
      </c>
      <c r="G302" s="84"/>
      <c r="H302" s="84"/>
      <c r="I302" s="84">
        <f t="shared" si="77"/>
        <v>0</v>
      </c>
      <c r="J302" s="84">
        <v>1316.3</v>
      </c>
      <c r="K302" s="84"/>
      <c r="L302" s="84">
        <f t="shared" si="78"/>
        <v>1316.3</v>
      </c>
      <c r="M302" s="84"/>
      <c r="N302" s="84"/>
      <c r="O302" s="84">
        <f t="shared" si="79"/>
        <v>1316.3</v>
      </c>
      <c r="P302" s="55"/>
      <c r="Q302" s="53">
        <f t="shared" si="75"/>
        <v>1316.3</v>
      </c>
    </row>
    <row r="303" spans="1:17" ht="12.75">
      <c r="A303" s="15" t="s">
        <v>320</v>
      </c>
      <c r="B303" s="101">
        <v>5400</v>
      </c>
      <c r="C303" s="84"/>
      <c r="D303" s="84"/>
      <c r="E303" s="84"/>
      <c r="F303" s="84">
        <f t="shared" si="76"/>
        <v>0</v>
      </c>
      <c r="G303" s="84">
        <v>0.2</v>
      </c>
      <c r="H303" s="84"/>
      <c r="I303" s="84">
        <f t="shared" si="77"/>
        <v>0.2</v>
      </c>
      <c r="J303" s="84"/>
      <c r="K303" s="84"/>
      <c r="L303" s="84">
        <f t="shared" si="78"/>
        <v>0.2</v>
      </c>
      <c r="M303" s="84"/>
      <c r="N303" s="84"/>
      <c r="O303" s="84">
        <f t="shared" si="79"/>
        <v>0.2</v>
      </c>
      <c r="P303" s="55"/>
      <c r="Q303" s="53">
        <f t="shared" si="75"/>
        <v>0.2</v>
      </c>
    </row>
    <row r="304" spans="1:17" ht="12.75" hidden="1">
      <c r="A304" s="15" t="s">
        <v>189</v>
      </c>
      <c r="B304" s="107"/>
      <c r="C304" s="84"/>
      <c r="D304" s="84"/>
      <c r="E304" s="84"/>
      <c r="F304" s="84">
        <f t="shared" si="76"/>
        <v>0</v>
      </c>
      <c r="G304" s="84"/>
      <c r="H304" s="84"/>
      <c r="I304" s="84">
        <f t="shared" si="77"/>
        <v>0</v>
      </c>
      <c r="J304" s="84"/>
      <c r="K304" s="84"/>
      <c r="L304" s="84">
        <f t="shared" si="78"/>
        <v>0</v>
      </c>
      <c r="M304" s="84"/>
      <c r="N304" s="84"/>
      <c r="O304" s="84">
        <f t="shared" si="79"/>
        <v>0</v>
      </c>
      <c r="P304" s="55"/>
      <c r="Q304" s="53">
        <f t="shared" si="75"/>
        <v>0</v>
      </c>
    </row>
    <row r="305" spans="1:17" ht="12.75" hidden="1">
      <c r="A305" s="32" t="s">
        <v>255</v>
      </c>
      <c r="B305" s="108"/>
      <c r="C305" s="84"/>
      <c r="D305" s="84"/>
      <c r="E305" s="84"/>
      <c r="F305" s="84">
        <f t="shared" si="76"/>
        <v>0</v>
      </c>
      <c r="G305" s="84"/>
      <c r="H305" s="84"/>
      <c r="I305" s="84">
        <f t="shared" si="77"/>
        <v>0</v>
      </c>
      <c r="J305" s="84"/>
      <c r="K305" s="84"/>
      <c r="L305" s="84">
        <f t="shared" si="78"/>
        <v>0</v>
      </c>
      <c r="M305" s="84"/>
      <c r="N305" s="84"/>
      <c r="O305" s="84">
        <f t="shared" si="79"/>
        <v>0</v>
      </c>
      <c r="P305" s="55"/>
      <c r="Q305" s="53">
        <f t="shared" si="75"/>
        <v>0</v>
      </c>
    </row>
    <row r="306" spans="1:17" ht="12.75" hidden="1">
      <c r="A306" s="32" t="s">
        <v>239</v>
      </c>
      <c r="B306" s="108"/>
      <c r="C306" s="84"/>
      <c r="D306" s="84"/>
      <c r="E306" s="84"/>
      <c r="F306" s="84">
        <f t="shared" si="76"/>
        <v>0</v>
      </c>
      <c r="G306" s="84"/>
      <c r="H306" s="84"/>
      <c r="I306" s="84">
        <f t="shared" si="77"/>
        <v>0</v>
      </c>
      <c r="J306" s="84"/>
      <c r="K306" s="84"/>
      <c r="L306" s="84">
        <f t="shared" si="78"/>
        <v>0</v>
      </c>
      <c r="M306" s="84"/>
      <c r="N306" s="84"/>
      <c r="O306" s="84">
        <f t="shared" si="79"/>
        <v>0</v>
      </c>
      <c r="P306" s="55"/>
      <c r="Q306" s="53">
        <f t="shared" si="75"/>
        <v>0</v>
      </c>
    </row>
    <row r="307" spans="1:17" ht="12.75" hidden="1">
      <c r="A307" s="15" t="s">
        <v>199</v>
      </c>
      <c r="B307" s="107"/>
      <c r="C307" s="84"/>
      <c r="D307" s="84"/>
      <c r="E307" s="84"/>
      <c r="F307" s="84">
        <f t="shared" si="76"/>
        <v>0</v>
      </c>
      <c r="G307" s="84"/>
      <c r="H307" s="84"/>
      <c r="I307" s="84">
        <f t="shared" si="77"/>
        <v>0</v>
      </c>
      <c r="J307" s="84"/>
      <c r="K307" s="84"/>
      <c r="L307" s="84">
        <f t="shared" si="78"/>
        <v>0</v>
      </c>
      <c r="M307" s="84"/>
      <c r="N307" s="84"/>
      <c r="O307" s="84">
        <f t="shared" si="79"/>
        <v>0</v>
      </c>
      <c r="P307" s="55"/>
      <c r="Q307" s="53">
        <f t="shared" si="75"/>
        <v>0</v>
      </c>
    </row>
    <row r="308" spans="1:17" ht="12.75">
      <c r="A308" s="15" t="s">
        <v>258</v>
      </c>
      <c r="B308" s="107">
        <v>33031</v>
      </c>
      <c r="C308" s="84"/>
      <c r="D308" s="84"/>
      <c r="E308" s="84"/>
      <c r="F308" s="84">
        <f t="shared" si="76"/>
        <v>0</v>
      </c>
      <c r="G308" s="84">
        <f>233.7+838.7+1445.4+1853.5</f>
        <v>4371.3</v>
      </c>
      <c r="H308" s="84"/>
      <c r="I308" s="84">
        <f t="shared" si="77"/>
        <v>4371.3</v>
      </c>
      <c r="J308" s="84">
        <f>354+385.1+4206.7+3582.6+3040.9</f>
        <v>11569.3</v>
      </c>
      <c r="K308" s="84"/>
      <c r="L308" s="84">
        <f t="shared" si="78"/>
        <v>15940.599999999999</v>
      </c>
      <c r="M308" s="84">
        <f>1186.3+549.3+863.6+389.3+1787.3+1082.2+1121.5+3025.8+2237.2+2675.8</f>
        <v>14918.3</v>
      </c>
      <c r="N308" s="84"/>
      <c r="O308" s="84">
        <f t="shared" si="79"/>
        <v>30858.899999999998</v>
      </c>
      <c r="P308" s="55"/>
      <c r="Q308" s="53"/>
    </row>
    <row r="309" spans="1:17" ht="12.75" hidden="1">
      <c r="A309" s="15" t="s">
        <v>204</v>
      </c>
      <c r="B309" s="15"/>
      <c r="C309" s="84"/>
      <c r="D309" s="84"/>
      <c r="E309" s="84"/>
      <c r="F309" s="84">
        <f t="shared" si="76"/>
        <v>0</v>
      </c>
      <c r="G309" s="84"/>
      <c r="H309" s="84"/>
      <c r="I309" s="84">
        <f t="shared" si="77"/>
        <v>0</v>
      </c>
      <c r="J309" s="84"/>
      <c r="K309" s="84"/>
      <c r="L309" s="84">
        <f t="shared" si="78"/>
        <v>0</v>
      </c>
      <c r="M309" s="84"/>
      <c r="N309" s="84"/>
      <c r="O309" s="84">
        <f t="shared" si="79"/>
        <v>0</v>
      </c>
      <c r="P309" s="55"/>
      <c r="Q309" s="53">
        <f t="shared" si="75"/>
        <v>0</v>
      </c>
    </row>
    <row r="310" spans="1:17" ht="12.75" hidden="1">
      <c r="A310" s="32" t="s">
        <v>209</v>
      </c>
      <c r="B310" s="32"/>
      <c r="C310" s="84"/>
      <c r="D310" s="84"/>
      <c r="E310" s="84"/>
      <c r="F310" s="84">
        <f t="shared" si="76"/>
        <v>0</v>
      </c>
      <c r="G310" s="84"/>
      <c r="H310" s="84"/>
      <c r="I310" s="84">
        <f t="shared" si="77"/>
        <v>0</v>
      </c>
      <c r="J310" s="84"/>
      <c r="K310" s="84"/>
      <c r="L310" s="84">
        <f t="shared" si="78"/>
        <v>0</v>
      </c>
      <c r="M310" s="84"/>
      <c r="N310" s="84"/>
      <c r="O310" s="84">
        <f t="shared" si="79"/>
        <v>0</v>
      </c>
      <c r="P310" s="55"/>
      <c r="Q310" s="53">
        <f t="shared" si="75"/>
        <v>0</v>
      </c>
    </row>
    <row r="311" spans="1:17" ht="12.75" hidden="1">
      <c r="A311" s="15" t="s">
        <v>216</v>
      </c>
      <c r="B311" s="15"/>
      <c r="C311" s="84"/>
      <c r="D311" s="84"/>
      <c r="E311" s="84"/>
      <c r="F311" s="84">
        <f t="shared" si="76"/>
        <v>0</v>
      </c>
      <c r="G311" s="84"/>
      <c r="H311" s="84"/>
      <c r="I311" s="84">
        <f t="shared" si="77"/>
        <v>0</v>
      </c>
      <c r="J311" s="84"/>
      <c r="K311" s="84"/>
      <c r="L311" s="84">
        <f t="shared" si="78"/>
        <v>0</v>
      </c>
      <c r="M311" s="84"/>
      <c r="N311" s="84"/>
      <c r="O311" s="84">
        <f t="shared" si="79"/>
        <v>0</v>
      </c>
      <c r="P311" s="55"/>
      <c r="Q311" s="53">
        <f t="shared" si="75"/>
        <v>0</v>
      </c>
    </row>
    <row r="312" spans="1:17" ht="12.75">
      <c r="A312" s="15" t="s">
        <v>104</v>
      </c>
      <c r="B312" s="15"/>
      <c r="C312" s="84"/>
      <c r="D312" s="84"/>
      <c r="E312" s="84"/>
      <c r="F312" s="84"/>
      <c r="G312" s="84"/>
      <c r="H312" s="84"/>
      <c r="I312" s="84">
        <f t="shared" si="77"/>
        <v>0</v>
      </c>
      <c r="J312" s="84">
        <v>240</v>
      </c>
      <c r="K312" s="84"/>
      <c r="L312" s="84">
        <f t="shared" si="78"/>
        <v>240</v>
      </c>
      <c r="M312" s="84"/>
      <c r="N312" s="84"/>
      <c r="O312" s="84">
        <f t="shared" si="79"/>
        <v>240</v>
      </c>
      <c r="P312" s="55"/>
      <c r="Q312" s="53"/>
    </row>
    <row r="313" spans="1:17" ht="12.75" hidden="1">
      <c r="A313" s="15" t="s">
        <v>128</v>
      </c>
      <c r="B313" s="15"/>
      <c r="C313" s="84"/>
      <c r="D313" s="84"/>
      <c r="E313" s="84"/>
      <c r="F313" s="84">
        <f t="shared" si="76"/>
        <v>0</v>
      </c>
      <c r="G313" s="84"/>
      <c r="H313" s="84"/>
      <c r="I313" s="84">
        <f t="shared" si="77"/>
        <v>0</v>
      </c>
      <c r="J313" s="84"/>
      <c r="K313" s="84"/>
      <c r="L313" s="84">
        <f t="shared" si="78"/>
        <v>0</v>
      </c>
      <c r="M313" s="84"/>
      <c r="N313" s="84"/>
      <c r="O313" s="84">
        <f t="shared" si="79"/>
        <v>0</v>
      </c>
      <c r="P313" s="55"/>
      <c r="Q313" s="53">
        <f t="shared" si="75"/>
        <v>0</v>
      </c>
    </row>
    <row r="314" spans="1:17" ht="12.75">
      <c r="A314" s="15" t="s">
        <v>72</v>
      </c>
      <c r="B314" s="15"/>
      <c r="C314" s="84">
        <v>20894</v>
      </c>
      <c r="D314" s="84"/>
      <c r="E314" s="84"/>
      <c r="F314" s="84">
        <f t="shared" si="76"/>
        <v>20894</v>
      </c>
      <c r="G314" s="84"/>
      <c r="H314" s="84">
        <v>-4216.9</v>
      </c>
      <c r="I314" s="84">
        <f t="shared" si="77"/>
        <v>16677.1</v>
      </c>
      <c r="J314" s="84">
        <f>487.8+153+3000</f>
        <v>3640.8</v>
      </c>
      <c r="K314" s="84">
        <f>-3534.3+937.7</f>
        <v>-2596.6000000000004</v>
      </c>
      <c r="L314" s="84">
        <f t="shared" si="78"/>
        <v>17721.299999999996</v>
      </c>
      <c r="M314" s="91"/>
      <c r="N314" s="84"/>
      <c r="O314" s="84">
        <f t="shared" si="79"/>
        <v>17721.299999999996</v>
      </c>
      <c r="P314" s="55"/>
      <c r="Q314" s="53">
        <f t="shared" si="75"/>
        <v>17721.299999999996</v>
      </c>
    </row>
    <row r="315" spans="1:17" ht="12.75">
      <c r="A315" s="18" t="s">
        <v>75</v>
      </c>
      <c r="B315" s="18"/>
      <c r="C315" s="89">
        <f>SUM(C317:C321)</f>
        <v>0</v>
      </c>
      <c r="D315" s="89">
        <f>SUM(D317:D321)</f>
        <v>0</v>
      </c>
      <c r="E315" s="89"/>
      <c r="F315" s="89">
        <f>SUM(F317:F321)</f>
        <v>0</v>
      </c>
      <c r="G315" s="89">
        <f>SUM(G317:G321)</f>
        <v>0</v>
      </c>
      <c r="H315" s="89">
        <f>SUM(H317:H321)</f>
        <v>0</v>
      </c>
      <c r="I315" s="89">
        <f>SUM(I317:I321)</f>
        <v>0</v>
      </c>
      <c r="J315" s="89"/>
      <c r="K315" s="89"/>
      <c r="L315" s="89">
        <f>SUM(L317:L321)</f>
        <v>0</v>
      </c>
      <c r="M315" s="89">
        <f>SUM(M317:M321)</f>
        <v>0</v>
      </c>
      <c r="N315" s="89">
        <f>SUM(N317:N321)</f>
        <v>0</v>
      </c>
      <c r="O315" s="89">
        <f>SUM(O317:O321)</f>
        <v>0</v>
      </c>
      <c r="P315" s="61"/>
      <c r="Q315" s="49">
        <f>SUM(Q317:Q321)</f>
        <v>0</v>
      </c>
    </row>
    <row r="316" spans="1:17" ht="12.75">
      <c r="A316" s="13" t="s">
        <v>38</v>
      </c>
      <c r="B316" s="13"/>
      <c r="C316" s="84"/>
      <c r="D316" s="84"/>
      <c r="E316" s="84"/>
      <c r="F316" s="84"/>
      <c r="G316" s="84"/>
      <c r="H316" s="84"/>
      <c r="I316" s="83"/>
      <c r="J316" s="84"/>
      <c r="K316" s="84"/>
      <c r="L316" s="83"/>
      <c r="M316" s="84"/>
      <c r="N316" s="84"/>
      <c r="O316" s="83"/>
      <c r="P316" s="55"/>
      <c r="Q316" s="53"/>
    </row>
    <row r="317" spans="1:17" ht="12.75">
      <c r="A317" s="22" t="s">
        <v>129</v>
      </c>
      <c r="B317" s="22"/>
      <c r="C317" s="88"/>
      <c r="D317" s="88"/>
      <c r="E317" s="88"/>
      <c r="F317" s="88">
        <f>C317+D317+E317</f>
        <v>0</v>
      </c>
      <c r="G317" s="88"/>
      <c r="H317" s="88"/>
      <c r="I317" s="88">
        <f>F317+G317+H317</f>
        <v>0</v>
      </c>
      <c r="J317" s="88"/>
      <c r="K317" s="88"/>
      <c r="L317" s="88">
        <f>I317+J317+K317</f>
        <v>0</v>
      </c>
      <c r="M317" s="88"/>
      <c r="N317" s="88"/>
      <c r="O317" s="88">
        <f>L317+M317+N317</f>
        <v>0</v>
      </c>
      <c r="P317" s="55"/>
      <c r="Q317" s="53">
        <f t="shared" si="75"/>
        <v>0</v>
      </c>
    </row>
    <row r="318" spans="1:17" ht="12.75" hidden="1">
      <c r="A318" s="15" t="s">
        <v>92</v>
      </c>
      <c r="B318" s="15"/>
      <c r="C318" s="84"/>
      <c r="D318" s="84"/>
      <c r="E318" s="84"/>
      <c r="F318" s="84">
        <f>C318+D318+E318</f>
        <v>0</v>
      </c>
      <c r="G318" s="84"/>
      <c r="H318" s="84"/>
      <c r="I318" s="84">
        <f>F318+G318+H318</f>
        <v>0</v>
      </c>
      <c r="J318" s="84"/>
      <c r="K318" s="84"/>
      <c r="L318" s="84">
        <f>I318+J318+K318</f>
        <v>0</v>
      </c>
      <c r="M318" s="84"/>
      <c r="N318" s="84"/>
      <c r="O318" s="84">
        <f>L318+M318+N318</f>
        <v>0</v>
      </c>
      <c r="P318" s="55"/>
      <c r="Q318" s="53">
        <f t="shared" si="75"/>
        <v>0</v>
      </c>
    </row>
    <row r="319" spans="1:17" ht="12.75" hidden="1">
      <c r="A319" s="32" t="s">
        <v>209</v>
      </c>
      <c r="B319" s="32"/>
      <c r="C319" s="84"/>
      <c r="D319" s="84"/>
      <c r="E319" s="84"/>
      <c r="F319" s="84">
        <f>C319+D319+E319</f>
        <v>0</v>
      </c>
      <c r="G319" s="84"/>
      <c r="H319" s="84"/>
      <c r="I319" s="84">
        <f>F319+G319+H319</f>
        <v>0</v>
      </c>
      <c r="J319" s="84"/>
      <c r="K319" s="84"/>
      <c r="L319" s="84">
        <f>I319+J319+K319</f>
        <v>0</v>
      </c>
      <c r="M319" s="84"/>
      <c r="N319" s="84"/>
      <c r="O319" s="84">
        <f>L319+M319+N319</f>
        <v>0</v>
      </c>
      <c r="P319" s="55"/>
      <c r="Q319" s="53">
        <f t="shared" si="75"/>
        <v>0</v>
      </c>
    </row>
    <row r="320" spans="1:17" ht="12.75" hidden="1">
      <c r="A320" s="15" t="s">
        <v>216</v>
      </c>
      <c r="B320" s="15"/>
      <c r="C320" s="84"/>
      <c r="D320" s="84"/>
      <c r="E320" s="84"/>
      <c r="F320" s="84">
        <f>C320+D320+E320</f>
        <v>0</v>
      </c>
      <c r="G320" s="84"/>
      <c r="H320" s="84"/>
      <c r="I320" s="84">
        <f>F320+G320+H320</f>
        <v>0</v>
      </c>
      <c r="J320" s="84"/>
      <c r="K320" s="84"/>
      <c r="L320" s="84">
        <f>I320+J320+K320</f>
        <v>0</v>
      </c>
      <c r="M320" s="84"/>
      <c r="N320" s="84"/>
      <c r="O320" s="84">
        <f>L320+M320+N320</f>
        <v>0</v>
      </c>
      <c r="P320" s="55"/>
      <c r="Q320" s="53">
        <f t="shared" si="75"/>
        <v>0</v>
      </c>
    </row>
    <row r="321" spans="1:17" ht="12.75" hidden="1">
      <c r="A321" s="22" t="s">
        <v>76</v>
      </c>
      <c r="B321" s="22"/>
      <c r="C321" s="88"/>
      <c r="D321" s="88"/>
      <c r="E321" s="88"/>
      <c r="F321" s="88">
        <f>C321+D321+E321</f>
        <v>0</v>
      </c>
      <c r="G321" s="88"/>
      <c r="H321" s="88"/>
      <c r="I321" s="88">
        <f>F321+G321+H321</f>
        <v>0</v>
      </c>
      <c r="J321" s="88"/>
      <c r="K321" s="92"/>
      <c r="L321" s="88">
        <f>I321+J321+K321</f>
        <v>0</v>
      </c>
      <c r="M321" s="88"/>
      <c r="N321" s="88"/>
      <c r="O321" s="88">
        <f>L321+M321+N321</f>
        <v>0</v>
      </c>
      <c r="P321" s="55"/>
      <c r="Q321" s="53">
        <f t="shared" si="75"/>
        <v>0</v>
      </c>
    </row>
    <row r="322" spans="1:17" ht="12.75">
      <c r="A322" s="8" t="s">
        <v>130</v>
      </c>
      <c r="B322" s="8"/>
      <c r="C322" s="83">
        <f aca="true" t="shared" si="80" ref="C322:O322">C323+C334</f>
        <v>705826</v>
      </c>
      <c r="D322" s="83">
        <f t="shared" si="80"/>
        <v>-300000</v>
      </c>
      <c r="E322" s="83">
        <f t="shared" si="80"/>
        <v>1500</v>
      </c>
      <c r="F322" s="83">
        <f t="shared" si="80"/>
        <v>407326</v>
      </c>
      <c r="G322" s="83">
        <f t="shared" si="80"/>
        <v>30139.7</v>
      </c>
      <c r="H322" s="83">
        <f t="shared" si="80"/>
        <v>0</v>
      </c>
      <c r="I322" s="83">
        <f t="shared" si="80"/>
        <v>437465.7</v>
      </c>
      <c r="J322" s="83">
        <f t="shared" si="80"/>
        <v>52039.200000000004</v>
      </c>
      <c r="K322" s="83">
        <f t="shared" si="80"/>
        <v>0</v>
      </c>
      <c r="L322" s="83">
        <f t="shared" si="80"/>
        <v>489504.89999999997</v>
      </c>
      <c r="M322" s="83">
        <f t="shared" si="80"/>
        <v>417.1</v>
      </c>
      <c r="N322" s="83">
        <f t="shared" si="80"/>
        <v>0</v>
      </c>
      <c r="O322" s="83">
        <f t="shared" si="80"/>
        <v>489922</v>
      </c>
      <c r="P322" s="56"/>
      <c r="Q322" s="38">
        <f>Q323+Q334</f>
        <v>484362.5</v>
      </c>
    </row>
    <row r="323" spans="1:17" ht="12.75">
      <c r="A323" s="17" t="s">
        <v>69</v>
      </c>
      <c r="B323" s="17"/>
      <c r="C323" s="87">
        <f aca="true" t="shared" si="81" ref="C323:O323">SUM(C325:C333)</f>
        <v>405826</v>
      </c>
      <c r="D323" s="87">
        <f t="shared" si="81"/>
        <v>0</v>
      </c>
      <c r="E323" s="87">
        <f t="shared" si="81"/>
        <v>1500</v>
      </c>
      <c r="F323" s="87">
        <f t="shared" si="81"/>
        <v>407326</v>
      </c>
      <c r="G323" s="87">
        <f t="shared" si="81"/>
        <v>30139.7</v>
      </c>
      <c r="H323" s="87">
        <f t="shared" si="81"/>
        <v>0</v>
      </c>
      <c r="I323" s="87">
        <f t="shared" si="81"/>
        <v>437465.7</v>
      </c>
      <c r="J323" s="87">
        <f t="shared" si="81"/>
        <v>51364.4</v>
      </c>
      <c r="K323" s="87">
        <f t="shared" si="81"/>
        <v>0</v>
      </c>
      <c r="L323" s="87">
        <f t="shared" si="81"/>
        <v>488830.1</v>
      </c>
      <c r="M323" s="87">
        <f t="shared" si="81"/>
        <v>417.1</v>
      </c>
      <c r="N323" s="87">
        <f t="shared" si="81"/>
        <v>0</v>
      </c>
      <c r="O323" s="87">
        <f t="shared" si="81"/>
        <v>489247.2</v>
      </c>
      <c r="P323" s="60"/>
      <c r="Q323" s="39">
        <f>SUM(Q325:Q333)</f>
        <v>483687.7</v>
      </c>
    </row>
    <row r="324" spans="1:17" ht="12.75">
      <c r="A324" s="13" t="s">
        <v>38</v>
      </c>
      <c r="B324" s="13"/>
      <c r="C324" s="84"/>
      <c r="D324" s="84"/>
      <c r="E324" s="84"/>
      <c r="F324" s="83"/>
      <c r="G324" s="84"/>
      <c r="H324" s="84"/>
      <c r="I324" s="83"/>
      <c r="J324" s="84"/>
      <c r="K324" s="84"/>
      <c r="L324" s="83"/>
      <c r="M324" s="84"/>
      <c r="N324" s="84"/>
      <c r="O324" s="83"/>
      <c r="P324" s="55"/>
      <c r="Q324" s="53"/>
    </row>
    <row r="325" spans="1:17" ht="12.75">
      <c r="A325" s="10" t="s">
        <v>100</v>
      </c>
      <c r="B325" s="10"/>
      <c r="C325" s="84">
        <v>218826</v>
      </c>
      <c r="D325" s="84"/>
      <c r="E325" s="84"/>
      <c r="F325" s="84">
        <f aca="true" t="shared" si="82" ref="F325:F333">C325+D325+E325</f>
        <v>218826</v>
      </c>
      <c r="G325" s="84"/>
      <c r="H325" s="84"/>
      <c r="I325" s="84">
        <f aca="true" t="shared" si="83" ref="I325:I333">F325+G325+H325</f>
        <v>218826</v>
      </c>
      <c r="J325" s="84">
        <v>-532</v>
      </c>
      <c r="K325" s="84"/>
      <c r="L325" s="84">
        <f aca="true" t="shared" si="84" ref="L325:L333">I325+J325+K325</f>
        <v>218294</v>
      </c>
      <c r="M325" s="84"/>
      <c r="N325" s="84"/>
      <c r="O325" s="84">
        <f aca="true" t="shared" si="85" ref="O325:O333">L325+M325+N325</f>
        <v>218294</v>
      </c>
      <c r="P325" s="55"/>
      <c r="Q325" s="53">
        <f aca="true" t="shared" si="86" ref="Q325:Q333">O325+P325</f>
        <v>218294</v>
      </c>
    </row>
    <row r="326" spans="1:17" ht="12.75">
      <c r="A326" s="15" t="s">
        <v>86</v>
      </c>
      <c r="B326" s="15"/>
      <c r="C326" s="84">
        <v>176000</v>
      </c>
      <c r="D326" s="84"/>
      <c r="E326" s="84"/>
      <c r="F326" s="84">
        <f t="shared" si="82"/>
        <v>176000</v>
      </c>
      <c r="G326" s="84">
        <v>30000</v>
      </c>
      <c r="H326" s="84"/>
      <c r="I326" s="84">
        <f t="shared" si="83"/>
        <v>206000</v>
      </c>
      <c r="J326" s="84">
        <v>45000</v>
      </c>
      <c r="K326" s="84"/>
      <c r="L326" s="84">
        <f t="shared" si="84"/>
        <v>251000</v>
      </c>
      <c r="M326" s="84"/>
      <c r="N326" s="84"/>
      <c r="O326" s="84">
        <f t="shared" si="85"/>
        <v>251000</v>
      </c>
      <c r="P326" s="55"/>
      <c r="Q326" s="53">
        <f t="shared" si="86"/>
        <v>251000</v>
      </c>
    </row>
    <row r="327" spans="1:17" ht="12.75">
      <c r="A327" s="15" t="s">
        <v>72</v>
      </c>
      <c r="B327" s="15"/>
      <c r="C327" s="91">
        <v>11000</v>
      </c>
      <c r="D327" s="84"/>
      <c r="E327" s="84">
        <v>1500</v>
      </c>
      <c r="F327" s="84">
        <f t="shared" si="82"/>
        <v>12500</v>
      </c>
      <c r="G327" s="84"/>
      <c r="H327" s="84"/>
      <c r="I327" s="84">
        <f t="shared" si="83"/>
        <v>12500</v>
      </c>
      <c r="J327" s="84">
        <f>1095.1</f>
        <v>1095.1</v>
      </c>
      <c r="K327" s="84"/>
      <c r="L327" s="84">
        <f t="shared" si="84"/>
        <v>13595.1</v>
      </c>
      <c r="M327" s="84"/>
      <c r="N327" s="84"/>
      <c r="O327" s="84">
        <f t="shared" si="85"/>
        <v>13595.1</v>
      </c>
      <c r="P327" s="55"/>
      <c r="Q327" s="53">
        <f t="shared" si="86"/>
        <v>13595.1</v>
      </c>
    </row>
    <row r="328" spans="1:17" ht="12.75" hidden="1">
      <c r="A328" s="15" t="s">
        <v>194</v>
      </c>
      <c r="B328" s="15"/>
      <c r="C328" s="91"/>
      <c r="D328" s="84"/>
      <c r="E328" s="84"/>
      <c r="F328" s="84">
        <f t="shared" si="82"/>
        <v>0</v>
      </c>
      <c r="G328" s="84"/>
      <c r="H328" s="84"/>
      <c r="I328" s="84">
        <f t="shared" si="83"/>
        <v>0</v>
      </c>
      <c r="J328" s="84"/>
      <c r="K328" s="84"/>
      <c r="L328" s="84">
        <f t="shared" si="84"/>
        <v>0</v>
      </c>
      <c r="M328" s="84"/>
      <c r="N328" s="84"/>
      <c r="O328" s="84">
        <f t="shared" si="85"/>
        <v>0</v>
      </c>
      <c r="P328" s="55"/>
      <c r="Q328" s="53">
        <f t="shared" si="86"/>
        <v>0</v>
      </c>
    </row>
    <row r="329" spans="1:17" ht="12.75">
      <c r="A329" s="15" t="s">
        <v>358</v>
      </c>
      <c r="B329" s="107">
        <v>35018</v>
      </c>
      <c r="C329" s="91"/>
      <c r="D329" s="84"/>
      <c r="E329" s="84"/>
      <c r="F329" s="84"/>
      <c r="G329" s="84"/>
      <c r="H329" s="84"/>
      <c r="I329" s="84">
        <f t="shared" si="83"/>
        <v>0</v>
      </c>
      <c r="J329" s="84">
        <v>5529.5</v>
      </c>
      <c r="K329" s="84"/>
      <c r="L329" s="84">
        <f t="shared" si="84"/>
        <v>5529.5</v>
      </c>
      <c r="M329" s="84"/>
      <c r="N329" s="84"/>
      <c r="O329" s="84">
        <f t="shared" si="85"/>
        <v>5529.5</v>
      </c>
      <c r="P329" s="55"/>
      <c r="Q329" s="53"/>
    </row>
    <row r="330" spans="1:17" ht="12.75">
      <c r="A330" s="15" t="s">
        <v>131</v>
      </c>
      <c r="B330" s="107">
        <v>98335</v>
      </c>
      <c r="C330" s="84"/>
      <c r="D330" s="84"/>
      <c r="E330" s="84"/>
      <c r="F330" s="84">
        <f t="shared" si="82"/>
        <v>0</v>
      </c>
      <c r="G330" s="84">
        <v>139.7</v>
      </c>
      <c r="H330" s="84"/>
      <c r="I330" s="84">
        <f t="shared" si="83"/>
        <v>139.7</v>
      </c>
      <c r="J330" s="84"/>
      <c r="K330" s="84"/>
      <c r="L330" s="84">
        <f t="shared" si="84"/>
        <v>139.7</v>
      </c>
      <c r="M330" s="110">
        <v>239.2</v>
      </c>
      <c r="N330" s="84"/>
      <c r="O330" s="84">
        <f t="shared" si="85"/>
        <v>378.9</v>
      </c>
      <c r="P330" s="55"/>
      <c r="Q330" s="53">
        <f t="shared" si="86"/>
        <v>378.9</v>
      </c>
    </row>
    <row r="331" spans="1:17" ht="12.75">
      <c r="A331" s="15" t="s">
        <v>353</v>
      </c>
      <c r="B331" s="107">
        <v>35050</v>
      </c>
      <c r="C331" s="84"/>
      <c r="D331" s="84"/>
      <c r="E331" s="84"/>
      <c r="F331" s="84"/>
      <c r="G331" s="84"/>
      <c r="H331" s="84"/>
      <c r="I331" s="84">
        <f t="shared" si="83"/>
        <v>0</v>
      </c>
      <c r="J331" s="84">
        <v>30</v>
      </c>
      <c r="K331" s="84"/>
      <c r="L331" s="84">
        <f t="shared" si="84"/>
        <v>30</v>
      </c>
      <c r="M331" s="110"/>
      <c r="N331" s="84"/>
      <c r="O331" s="84">
        <f t="shared" si="85"/>
        <v>30</v>
      </c>
      <c r="P331" s="55"/>
      <c r="Q331" s="53"/>
    </row>
    <row r="332" spans="1:17" ht="12.75">
      <c r="A332" s="15" t="s">
        <v>382</v>
      </c>
      <c r="B332" s="107">
        <v>35063</v>
      </c>
      <c r="C332" s="84"/>
      <c r="D332" s="84"/>
      <c r="E332" s="84"/>
      <c r="F332" s="84">
        <f t="shared" si="82"/>
        <v>0</v>
      </c>
      <c r="G332" s="84"/>
      <c r="H332" s="84"/>
      <c r="I332" s="84">
        <f t="shared" si="83"/>
        <v>0</v>
      </c>
      <c r="J332" s="84"/>
      <c r="K332" s="84"/>
      <c r="L332" s="84">
        <f t="shared" si="84"/>
        <v>0</v>
      </c>
      <c r="M332" s="84">
        <v>100</v>
      </c>
      <c r="N332" s="84"/>
      <c r="O332" s="84">
        <f t="shared" si="85"/>
        <v>100</v>
      </c>
      <c r="P332" s="55"/>
      <c r="Q332" s="53">
        <f t="shared" si="86"/>
        <v>100</v>
      </c>
    </row>
    <row r="333" spans="1:17" ht="12.75">
      <c r="A333" s="15" t="s">
        <v>132</v>
      </c>
      <c r="B333" s="107">
        <v>98297</v>
      </c>
      <c r="C333" s="84"/>
      <c r="D333" s="84"/>
      <c r="E333" s="84"/>
      <c r="F333" s="84">
        <f t="shared" si="82"/>
        <v>0</v>
      </c>
      <c r="G333" s="84"/>
      <c r="H333" s="84"/>
      <c r="I333" s="84">
        <f t="shared" si="83"/>
        <v>0</v>
      </c>
      <c r="J333" s="84">
        <f>180.3+61.5</f>
        <v>241.8</v>
      </c>
      <c r="K333" s="84"/>
      <c r="L333" s="84">
        <f t="shared" si="84"/>
        <v>241.8</v>
      </c>
      <c r="M333" s="84">
        <v>77.9</v>
      </c>
      <c r="N333" s="84"/>
      <c r="O333" s="84">
        <f t="shared" si="85"/>
        <v>319.70000000000005</v>
      </c>
      <c r="P333" s="55"/>
      <c r="Q333" s="53">
        <f t="shared" si="86"/>
        <v>319.70000000000005</v>
      </c>
    </row>
    <row r="334" spans="1:17" ht="12.75">
      <c r="A334" s="17" t="s">
        <v>75</v>
      </c>
      <c r="B334" s="111"/>
      <c r="C334" s="87">
        <f aca="true" t="shared" si="87" ref="C334:O334">SUM(C336:C338)</f>
        <v>300000</v>
      </c>
      <c r="D334" s="87">
        <f t="shared" si="87"/>
        <v>-300000</v>
      </c>
      <c r="E334" s="87">
        <f t="shared" si="87"/>
        <v>0</v>
      </c>
      <c r="F334" s="87">
        <f t="shared" si="87"/>
        <v>0</v>
      </c>
      <c r="G334" s="87">
        <f t="shared" si="87"/>
        <v>0</v>
      </c>
      <c r="H334" s="87">
        <f t="shared" si="87"/>
        <v>0</v>
      </c>
      <c r="I334" s="87">
        <f t="shared" si="87"/>
        <v>0</v>
      </c>
      <c r="J334" s="87">
        <f t="shared" si="87"/>
        <v>674.8</v>
      </c>
      <c r="K334" s="87">
        <f t="shared" si="87"/>
        <v>0</v>
      </c>
      <c r="L334" s="87">
        <f t="shared" si="87"/>
        <v>674.8</v>
      </c>
      <c r="M334" s="87">
        <f t="shared" si="87"/>
        <v>0</v>
      </c>
      <c r="N334" s="87">
        <f t="shared" si="87"/>
        <v>0</v>
      </c>
      <c r="O334" s="87">
        <f t="shared" si="87"/>
        <v>674.8</v>
      </c>
      <c r="P334" s="60"/>
      <c r="Q334" s="39">
        <f>SUM(Q336:Q338)</f>
        <v>674.8</v>
      </c>
    </row>
    <row r="335" spans="1:17" ht="12.75">
      <c r="A335" s="13" t="s">
        <v>38</v>
      </c>
      <c r="B335" s="13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55"/>
      <c r="Q335" s="53"/>
    </row>
    <row r="336" spans="1:17" ht="12.75">
      <c r="A336" s="15" t="s">
        <v>266</v>
      </c>
      <c r="B336" s="15"/>
      <c r="C336" s="84">
        <v>300000</v>
      </c>
      <c r="D336" s="84">
        <v>-300000</v>
      </c>
      <c r="E336" s="84"/>
      <c r="F336" s="84">
        <f>C336+D336+E336</f>
        <v>0</v>
      </c>
      <c r="G336" s="84"/>
      <c r="H336" s="84"/>
      <c r="I336" s="84">
        <f>F336+G336+H336</f>
        <v>0</v>
      </c>
      <c r="J336" s="84"/>
      <c r="K336" s="84"/>
      <c r="L336" s="84">
        <f>I336+J336+K336</f>
        <v>0</v>
      </c>
      <c r="M336" s="84"/>
      <c r="N336" s="84"/>
      <c r="O336" s="84">
        <f>L336+M336+N336</f>
        <v>0</v>
      </c>
      <c r="P336" s="55"/>
      <c r="Q336" s="53">
        <f>O336+P336</f>
        <v>0</v>
      </c>
    </row>
    <row r="337" spans="1:17" ht="12.75">
      <c r="A337" s="15" t="s">
        <v>92</v>
      </c>
      <c r="B337" s="15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>
        <f>L337+M337+N337</f>
        <v>0</v>
      </c>
      <c r="P337" s="55"/>
      <c r="Q337" s="53"/>
    </row>
    <row r="338" spans="1:17" ht="12.75">
      <c r="A338" s="14" t="s">
        <v>76</v>
      </c>
      <c r="B338" s="14"/>
      <c r="C338" s="88"/>
      <c r="D338" s="88"/>
      <c r="E338" s="88"/>
      <c r="F338" s="88">
        <f>C338+D338+E338</f>
        <v>0</v>
      </c>
      <c r="G338" s="88"/>
      <c r="H338" s="88"/>
      <c r="I338" s="88">
        <f>F338+G338+H338</f>
        <v>0</v>
      </c>
      <c r="J338" s="88">
        <f>674.8</f>
        <v>674.8</v>
      </c>
      <c r="K338" s="88"/>
      <c r="L338" s="88">
        <f>I338+J338+K338</f>
        <v>674.8</v>
      </c>
      <c r="M338" s="88"/>
      <c r="N338" s="88"/>
      <c r="O338" s="88">
        <f>L338+M338+N338</f>
        <v>674.8</v>
      </c>
      <c r="P338" s="68"/>
      <c r="Q338" s="69">
        <f>O338+P338</f>
        <v>674.8</v>
      </c>
    </row>
    <row r="339" spans="1:17" ht="12.75">
      <c r="A339" s="23" t="s">
        <v>133</v>
      </c>
      <c r="B339" s="23"/>
      <c r="C339" s="85">
        <f aca="true" t="shared" si="88" ref="C339:O339">C340+C351</f>
        <v>142965</v>
      </c>
      <c r="D339" s="85">
        <f t="shared" si="88"/>
        <v>0</v>
      </c>
      <c r="E339" s="85">
        <f t="shared" si="88"/>
        <v>28285.8</v>
      </c>
      <c r="F339" s="85">
        <f t="shared" si="88"/>
        <v>171250.8</v>
      </c>
      <c r="G339" s="85">
        <f t="shared" si="88"/>
        <v>-27874.8</v>
      </c>
      <c r="H339" s="85">
        <f t="shared" si="88"/>
        <v>0</v>
      </c>
      <c r="I339" s="85">
        <f t="shared" si="88"/>
        <v>143376</v>
      </c>
      <c r="J339" s="85">
        <f t="shared" si="88"/>
        <v>139</v>
      </c>
      <c r="K339" s="85">
        <f t="shared" si="88"/>
        <v>0</v>
      </c>
      <c r="L339" s="85">
        <f t="shared" si="88"/>
        <v>143515</v>
      </c>
      <c r="M339" s="85">
        <f t="shared" si="88"/>
        <v>793.2</v>
      </c>
      <c r="N339" s="85">
        <f t="shared" si="88"/>
        <v>0</v>
      </c>
      <c r="O339" s="85">
        <f t="shared" si="88"/>
        <v>144308.2</v>
      </c>
      <c r="P339" s="58"/>
      <c r="Q339" s="7">
        <f>Q340+Q351</f>
        <v>144308.2</v>
      </c>
    </row>
    <row r="340" spans="1:17" ht="12.75">
      <c r="A340" s="17" t="s">
        <v>69</v>
      </c>
      <c r="B340" s="17"/>
      <c r="C340" s="87">
        <f aca="true" t="shared" si="89" ref="C340:O340">SUM(C342:C350)</f>
        <v>142965</v>
      </c>
      <c r="D340" s="87">
        <f t="shared" si="89"/>
        <v>0</v>
      </c>
      <c r="E340" s="87">
        <f t="shared" si="89"/>
        <v>1791</v>
      </c>
      <c r="F340" s="87">
        <f t="shared" si="89"/>
        <v>144756</v>
      </c>
      <c r="G340" s="87">
        <f t="shared" si="89"/>
        <v>-1380</v>
      </c>
      <c r="H340" s="87">
        <f t="shared" si="89"/>
        <v>0</v>
      </c>
      <c r="I340" s="87">
        <f t="shared" si="89"/>
        <v>143376</v>
      </c>
      <c r="J340" s="87">
        <f t="shared" si="89"/>
        <v>139</v>
      </c>
      <c r="K340" s="87">
        <f t="shared" si="89"/>
        <v>0</v>
      </c>
      <c r="L340" s="87">
        <f t="shared" si="89"/>
        <v>143515</v>
      </c>
      <c r="M340" s="87">
        <f t="shared" si="89"/>
        <v>793.2</v>
      </c>
      <c r="N340" s="87">
        <f t="shared" si="89"/>
        <v>0</v>
      </c>
      <c r="O340" s="87">
        <f t="shared" si="89"/>
        <v>144308.2</v>
      </c>
      <c r="P340" s="60"/>
      <c r="Q340" s="39">
        <f>SUM(Q342:Q350)</f>
        <v>144308.2</v>
      </c>
    </row>
    <row r="341" spans="1:17" ht="12.75">
      <c r="A341" s="13" t="s">
        <v>38</v>
      </c>
      <c r="B341" s="13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55"/>
      <c r="Q341" s="53"/>
    </row>
    <row r="342" spans="1:17" ht="12.75">
      <c r="A342" s="15" t="s">
        <v>100</v>
      </c>
      <c r="B342" s="15"/>
      <c r="C342" s="84">
        <v>123300</v>
      </c>
      <c r="D342" s="84"/>
      <c r="E342" s="84"/>
      <c r="F342" s="84">
        <f>C342+D342+E342</f>
        <v>123300</v>
      </c>
      <c r="G342" s="84"/>
      <c r="H342" s="84">
        <v>300</v>
      </c>
      <c r="I342" s="84">
        <f>F342+G342+H342</f>
        <v>123600</v>
      </c>
      <c r="J342" s="84"/>
      <c r="K342" s="84"/>
      <c r="L342" s="84">
        <f>I342+J342+K342</f>
        <v>123600</v>
      </c>
      <c r="M342" s="84">
        <f>440+72</f>
        <v>512</v>
      </c>
      <c r="N342" s="84"/>
      <c r="O342" s="84">
        <f>L342+M342+N342</f>
        <v>124112</v>
      </c>
      <c r="P342" s="55"/>
      <c r="Q342" s="53">
        <f aca="true" t="shared" si="90" ref="Q342:Q350">O342+P342</f>
        <v>124112</v>
      </c>
    </row>
    <row r="343" spans="1:17" ht="12.75">
      <c r="A343" s="15" t="s">
        <v>72</v>
      </c>
      <c r="B343" s="15"/>
      <c r="C343" s="84">
        <v>16550</v>
      </c>
      <c r="D343" s="84"/>
      <c r="E343" s="84"/>
      <c r="F343" s="84">
        <f aca="true" t="shared" si="91" ref="F343:F350">C343+D343+E343</f>
        <v>16550</v>
      </c>
      <c r="G343" s="84">
        <f>-37+250</f>
        <v>213</v>
      </c>
      <c r="H343" s="84">
        <f>-4168-670-300</f>
        <v>-5138</v>
      </c>
      <c r="I343" s="84">
        <f aca="true" t="shared" si="92" ref="I343:I350">F343+G343+H343</f>
        <v>11625</v>
      </c>
      <c r="J343" s="84">
        <v>300</v>
      </c>
      <c r="K343" s="84"/>
      <c r="L343" s="84">
        <f aca="true" t="shared" si="93" ref="L343:L350">I343+J343+K343</f>
        <v>11925</v>
      </c>
      <c r="M343" s="84">
        <f>-440-72+120.2</f>
        <v>-391.8</v>
      </c>
      <c r="N343" s="84"/>
      <c r="O343" s="84">
        <f aca="true" t="shared" si="94" ref="O343:O350">L343+M343+N343</f>
        <v>11533.2</v>
      </c>
      <c r="P343" s="55"/>
      <c r="Q343" s="53">
        <f t="shared" si="90"/>
        <v>11533.2</v>
      </c>
    </row>
    <row r="344" spans="1:17" ht="12.75">
      <c r="A344" s="15" t="s">
        <v>181</v>
      </c>
      <c r="B344" s="15"/>
      <c r="C344" s="84">
        <v>3115</v>
      </c>
      <c r="D344" s="84"/>
      <c r="E344" s="84"/>
      <c r="F344" s="84">
        <f t="shared" si="91"/>
        <v>3115</v>
      </c>
      <c r="G344" s="84">
        <v>37</v>
      </c>
      <c r="H344" s="84"/>
      <c r="I344" s="84">
        <f t="shared" si="92"/>
        <v>3152</v>
      </c>
      <c r="J344" s="84"/>
      <c r="K344" s="84"/>
      <c r="L344" s="84">
        <f t="shared" si="93"/>
        <v>3152</v>
      </c>
      <c r="M344" s="84"/>
      <c r="N344" s="84"/>
      <c r="O344" s="84">
        <f t="shared" si="94"/>
        <v>3152</v>
      </c>
      <c r="P344" s="55"/>
      <c r="Q344" s="53">
        <f t="shared" si="90"/>
        <v>3152</v>
      </c>
    </row>
    <row r="345" spans="1:17" ht="12.75">
      <c r="A345" s="15" t="s">
        <v>87</v>
      </c>
      <c r="B345" s="15"/>
      <c r="C345" s="84"/>
      <c r="D345" s="84"/>
      <c r="E345" s="84"/>
      <c r="F345" s="84">
        <f t="shared" si="91"/>
        <v>0</v>
      </c>
      <c r="G345" s="84"/>
      <c r="H345" s="84">
        <f>4168+670</f>
        <v>4838</v>
      </c>
      <c r="I345" s="84">
        <f t="shared" si="92"/>
        <v>4838</v>
      </c>
      <c r="J345" s="84"/>
      <c r="K345" s="84"/>
      <c r="L345" s="84">
        <f t="shared" si="93"/>
        <v>4838</v>
      </c>
      <c r="M345" s="84"/>
      <c r="N345" s="84"/>
      <c r="O345" s="84">
        <f t="shared" si="94"/>
        <v>4838</v>
      </c>
      <c r="P345" s="55"/>
      <c r="Q345" s="53">
        <f t="shared" si="90"/>
        <v>4838</v>
      </c>
    </row>
    <row r="346" spans="1:17" ht="12.75">
      <c r="A346" s="15" t="s">
        <v>134</v>
      </c>
      <c r="B346" s="107">
        <v>34070</v>
      </c>
      <c r="C346" s="84"/>
      <c r="D346" s="84"/>
      <c r="E346" s="84"/>
      <c r="F346" s="84">
        <f t="shared" si="91"/>
        <v>0</v>
      </c>
      <c r="G346" s="84"/>
      <c r="H346" s="84"/>
      <c r="I346" s="84">
        <f t="shared" si="92"/>
        <v>0</v>
      </c>
      <c r="J346" s="84"/>
      <c r="K346" s="84"/>
      <c r="L346" s="84">
        <f t="shared" si="93"/>
        <v>0</v>
      </c>
      <c r="M346" s="84">
        <v>325</v>
      </c>
      <c r="N346" s="84"/>
      <c r="O346" s="84">
        <f t="shared" si="94"/>
        <v>325</v>
      </c>
      <c r="P346" s="55"/>
      <c r="Q346" s="53">
        <f t="shared" si="90"/>
        <v>325</v>
      </c>
    </row>
    <row r="347" spans="1:17" ht="12.75">
      <c r="A347" s="22" t="s">
        <v>135</v>
      </c>
      <c r="B347" s="112">
        <v>34053</v>
      </c>
      <c r="C347" s="88"/>
      <c r="D347" s="88"/>
      <c r="E347" s="88"/>
      <c r="F347" s="88">
        <f t="shared" si="91"/>
        <v>0</v>
      </c>
      <c r="G347" s="88"/>
      <c r="H347" s="88"/>
      <c r="I347" s="88">
        <f t="shared" si="92"/>
        <v>0</v>
      </c>
      <c r="J347" s="88"/>
      <c r="K347" s="88"/>
      <c r="L347" s="88">
        <f t="shared" si="93"/>
        <v>0</v>
      </c>
      <c r="M347" s="88">
        <v>348</v>
      </c>
      <c r="N347" s="88"/>
      <c r="O347" s="88">
        <f t="shared" si="94"/>
        <v>348</v>
      </c>
      <c r="P347" s="55"/>
      <c r="Q347" s="53">
        <f t="shared" si="90"/>
        <v>348</v>
      </c>
    </row>
    <row r="348" spans="1:17" ht="12.75" hidden="1">
      <c r="A348" s="15" t="s">
        <v>216</v>
      </c>
      <c r="B348" s="15"/>
      <c r="C348" s="84"/>
      <c r="D348" s="84"/>
      <c r="E348" s="84"/>
      <c r="F348" s="84">
        <f t="shared" si="91"/>
        <v>0</v>
      </c>
      <c r="G348" s="84"/>
      <c r="H348" s="84"/>
      <c r="I348" s="84">
        <f t="shared" si="92"/>
        <v>0</v>
      </c>
      <c r="J348" s="84"/>
      <c r="K348" s="84"/>
      <c r="L348" s="84">
        <f t="shared" si="93"/>
        <v>0</v>
      </c>
      <c r="M348" s="84"/>
      <c r="N348" s="84"/>
      <c r="O348" s="84">
        <f t="shared" si="94"/>
        <v>0</v>
      </c>
      <c r="P348" s="55"/>
      <c r="Q348" s="53">
        <f t="shared" si="90"/>
        <v>0</v>
      </c>
    </row>
    <row r="349" spans="1:17" ht="12.75" hidden="1">
      <c r="A349" s="15" t="s">
        <v>104</v>
      </c>
      <c r="B349" s="15"/>
      <c r="C349" s="84"/>
      <c r="D349" s="84"/>
      <c r="E349" s="84"/>
      <c r="F349" s="84">
        <f t="shared" si="91"/>
        <v>0</v>
      </c>
      <c r="G349" s="84"/>
      <c r="H349" s="84"/>
      <c r="I349" s="84">
        <f t="shared" si="92"/>
        <v>0</v>
      </c>
      <c r="J349" s="84"/>
      <c r="K349" s="84"/>
      <c r="L349" s="84">
        <f t="shared" si="93"/>
        <v>0</v>
      </c>
      <c r="M349" s="84"/>
      <c r="N349" s="84"/>
      <c r="O349" s="84">
        <f t="shared" si="94"/>
        <v>0</v>
      </c>
      <c r="P349" s="55"/>
      <c r="Q349" s="53">
        <f t="shared" si="90"/>
        <v>0</v>
      </c>
    </row>
    <row r="350" spans="1:17" ht="12.75" hidden="1">
      <c r="A350" s="22" t="s">
        <v>299</v>
      </c>
      <c r="B350" s="112">
        <v>33037</v>
      </c>
      <c r="C350" s="88"/>
      <c r="D350" s="88"/>
      <c r="E350" s="88">
        <v>1791</v>
      </c>
      <c r="F350" s="88">
        <f t="shared" si="91"/>
        <v>1791</v>
      </c>
      <c r="G350" s="88">
        <v>-1630</v>
      </c>
      <c r="H350" s="88"/>
      <c r="I350" s="88">
        <f t="shared" si="92"/>
        <v>161</v>
      </c>
      <c r="J350" s="88">
        <v>-161</v>
      </c>
      <c r="K350" s="88"/>
      <c r="L350" s="88">
        <f t="shared" si="93"/>
        <v>0</v>
      </c>
      <c r="M350" s="88"/>
      <c r="N350" s="88"/>
      <c r="O350" s="88">
        <f t="shared" si="94"/>
        <v>0</v>
      </c>
      <c r="P350" s="55"/>
      <c r="Q350" s="53">
        <f t="shared" si="90"/>
        <v>0</v>
      </c>
    </row>
    <row r="351" spans="1:17" ht="12.75" hidden="1">
      <c r="A351" s="17" t="s">
        <v>75</v>
      </c>
      <c r="B351" s="17"/>
      <c r="C351" s="87">
        <f aca="true" t="shared" si="95" ref="C351:O351">SUM(C353:C357)</f>
        <v>0</v>
      </c>
      <c r="D351" s="87">
        <f t="shared" si="95"/>
        <v>0</v>
      </c>
      <c r="E351" s="87">
        <f t="shared" si="95"/>
        <v>26494.8</v>
      </c>
      <c r="F351" s="87">
        <f t="shared" si="95"/>
        <v>26494.8</v>
      </c>
      <c r="G351" s="87">
        <f t="shared" si="95"/>
        <v>-26494.8</v>
      </c>
      <c r="H351" s="87">
        <f t="shared" si="95"/>
        <v>0</v>
      </c>
      <c r="I351" s="87">
        <f t="shared" si="95"/>
        <v>0</v>
      </c>
      <c r="J351" s="87">
        <f t="shared" si="95"/>
        <v>0</v>
      </c>
      <c r="K351" s="87">
        <f t="shared" si="95"/>
        <v>0</v>
      </c>
      <c r="L351" s="87">
        <f t="shared" si="95"/>
        <v>0</v>
      </c>
      <c r="M351" s="87">
        <f t="shared" si="95"/>
        <v>0</v>
      </c>
      <c r="N351" s="87">
        <f t="shared" si="95"/>
        <v>0</v>
      </c>
      <c r="O351" s="87">
        <f t="shared" si="95"/>
        <v>0</v>
      </c>
      <c r="P351" s="60"/>
      <c r="Q351" s="39">
        <f>SUM(Q353:Q357)</f>
        <v>0</v>
      </c>
    </row>
    <row r="352" spans="1:17" ht="12.75" hidden="1">
      <c r="A352" s="13" t="s">
        <v>38</v>
      </c>
      <c r="B352" s="13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55"/>
      <c r="Q352" s="53"/>
    </row>
    <row r="353" spans="1:17" ht="12.75" hidden="1">
      <c r="A353" s="15" t="s">
        <v>299</v>
      </c>
      <c r="B353" s="107">
        <v>33939</v>
      </c>
      <c r="C353" s="84"/>
      <c r="D353" s="84"/>
      <c r="E353" s="84">
        <v>23144.8</v>
      </c>
      <c r="F353" s="84">
        <f>C353+D353+E353</f>
        <v>23144.8</v>
      </c>
      <c r="G353" s="84">
        <v>-23144.8</v>
      </c>
      <c r="H353" s="84"/>
      <c r="I353" s="84">
        <f>F353+G353+H353</f>
        <v>0</v>
      </c>
      <c r="J353" s="84"/>
      <c r="K353" s="84"/>
      <c r="L353" s="84">
        <f>I353+J353+K353</f>
        <v>0</v>
      </c>
      <c r="M353" s="84"/>
      <c r="N353" s="84"/>
      <c r="O353" s="84">
        <f>L353+M353+N353</f>
        <v>0</v>
      </c>
      <c r="P353" s="55"/>
      <c r="Q353" s="53">
        <f>O353+P353</f>
        <v>0</v>
      </c>
    </row>
    <row r="354" spans="1:17" ht="12.75" hidden="1">
      <c r="A354" s="15" t="s">
        <v>216</v>
      </c>
      <c r="B354" s="15"/>
      <c r="C354" s="84"/>
      <c r="D354" s="84"/>
      <c r="E354" s="84"/>
      <c r="F354" s="84">
        <f>C354+D354+E354</f>
        <v>0</v>
      </c>
      <c r="G354" s="84"/>
      <c r="H354" s="84"/>
      <c r="I354" s="84">
        <f>F354+G354+H354</f>
        <v>0</v>
      </c>
      <c r="J354" s="84"/>
      <c r="K354" s="84"/>
      <c r="L354" s="84">
        <f>I354+J354+K354</f>
        <v>0</v>
      </c>
      <c r="M354" s="84"/>
      <c r="N354" s="84"/>
      <c r="O354" s="84">
        <f>L354+M354+N354</f>
        <v>0</v>
      </c>
      <c r="P354" s="55"/>
      <c r="Q354" s="53">
        <f>O354+P354</f>
        <v>0</v>
      </c>
    </row>
    <row r="355" spans="1:17" ht="12.75" hidden="1">
      <c r="A355" s="32" t="s">
        <v>92</v>
      </c>
      <c r="B355" s="32"/>
      <c r="C355" s="84"/>
      <c r="D355" s="84"/>
      <c r="E355" s="84"/>
      <c r="F355" s="84">
        <f>C355+D355+E355</f>
        <v>0</v>
      </c>
      <c r="G355" s="84"/>
      <c r="H355" s="84"/>
      <c r="I355" s="84">
        <f>F355+G355+H355</f>
        <v>0</v>
      </c>
      <c r="J355" s="84"/>
      <c r="K355" s="84"/>
      <c r="L355" s="84">
        <f>I355+J355+K355</f>
        <v>0</v>
      </c>
      <c r="M355" s="84"/>
      <c r="N355" s="84"/>
      <c r="O355" s="84">
        <f>L355+M355+N355</f>
        <v>0</v>
      </c>
      <c r="P355" s="55"/>
      <c r="Q355" s="53">
        <f>O355+P355</f>
        <v>0</v>
      </c>
    </row>
    <row r="356" spans="1:17" ht="12.75" hidden="1">
      <c r="A356" s="32" t="s">
        <v>76</v>
      </c>
      <c r="B356" s="32"/>
      <c r="C356" s="84"/>
      <c r="D356" s="84"/>
      <c r="E356" s="84"/>
      <c r="F356" s="84">
        <f>C356+D356+E356</f>
        <v>0</v>
      </c>
      <c r="G356" s="84"/>
      <c r="H356" s="84"/>
      <c r="I356" s="84">
        <f>F356+G356+H356</f>
        <v>0</v>
      </c>
      <c r="J356" s="84"/>
      <c r="K356" s="84"/>
      <c r="L356" s="84">
        <f>I356+J356+K356</f>
        <v>0</v>
      </c>
      <c r="M356" s="84"/>
      <c r="N356" s="84"/>
      <c r="O356" s="84">
        <f>L356+M356+N356</f>
        <v>0</v>
      </c>
      <c r="P356" s="55"/>
      <c r="Q356" s="53">
        <f>O356+P356</f>
        <v>0</v>
      </c>
    </row>
    <row r="357" spans="1:17" ht="12.75" hidden="1">
      <c r="A357" s="22" t="s">
        <v>104</v>
      </c>
      <c r="B357" s="22"/>
      <c r="C357" s="88"/>
      <c r="D357" s="88"/>
      <c r="E357" s="88">
        <v>3350</v>
      </c>
      <c r="F357" s="88">
        <f>C357+D357+E357</f>
        <v>3350</v>
      </c>
      <c r="G357" s="88">
        <f>-1000-2350</f>
        <v>-3350</v>
      </c>
      <c r="H357" s="88"/>
      <c r="I357" s="88">
        <f>F357+G357+H357</f>
        <v>0</v>
      </c>
      <c r="J357" s="88"/>
      <c r="K357" s="88"/>
      <c r="L357" s="88">
        <f>I357+J357+K357</f>
        <v>0</v>
      </c>
      <c r="M357" s="92"/>
      <c r="N357" s="88"/>
      <c r="O357" s="88">
        <f>L357+M357+N357</f>
        <v>0</v>
      </c>
      <c r="P357" s="68"/>
      <c r="Q357" s="69">
        <f>O357+P357</f>
        <v>0</v>
      </c>
    </row>
    <row r="358" spans="1:17" ht="12.75">
      <c r="A358" s="23" t="s">
        <v>261</v>
      </c>
      <c r="B358" s="23"/>
      <c r="C358" s="83">
        <f aca="true" t="shared" si="96" ref="C358:O358">C359+C382</f>
        <v>149420.3</v>
      </c>
      <c r="D358" s="83">
        <f t="shared" si="96"/>
        <v>354190</v>
      </c>
      <c r="E358" s="83">
        <f t="shared" si="96"/>
        <v>322879.7</v>
      </c>
      <c r="F358" s="83">
        <f t="shared" si="96"/>
        <v>826490</v>
      </c>
      <c r="G358" s="83">
        <f t="shared" si="96"/>
        <v>143011.69999999998</v>
      </c>
      <c r="H358" s="83">
        <f t="shared" si="96"/>
        <v>0</v>
      </c>
      <c r="I358" s="83">
        <f t="shared" si="96"/>
        <v>969501.7</v>
      </c>
      <c r="J358" s="83">
        <f t="shared" si="96"/>
        <v>46437.6</v>
      </c>
      <c r="K358" s="83">
        <f t="shared" si="96"/>
        <v>1144.3</v>
      </c>
      <c r="L358" s="83">
        <f t="shared" si="96"/>
        <v>1017083.6</v>
      </c>
      <c r="M358" s="83">
        <f t="shared" si="96"/>
        <v>71858.9</v>
      </c>
      <c r="N358" s="83">
        <f t="shared" si="96"/>
        <v>0</v>
      </c>
      <c r="O358" s="83">
        <f t="shared" si="96"/>
        <v>1088942.5</v>
      </c>
      <c r="P358" s="55"/>
      <c r="Q358" s="53"/>
    </row>
    <row r="359" spans="1:17" ht="12.75">
      <c r="A359" s="17" t="s">
        <v>69</v>
      </c>
      <c r="B359" s="17"/>
      <c r="C359" s="87">
        <f aca="true" t="shared" si="97" ref="C359:O359">SUM(C361:C373)</f>
        <v>32100</v>
      </c>
      <c r="D359" s="87">
        <f t="shared" si="97"/>
        <v>9190</v>
      </c>
      <c r="E359" s="87">
        <f t="shared" si="97"/>
        <v>4940.8</v>
      </c>
      <c r="F359" s="87">
        <f t="shared" si="97"/>
        <v>46230.8</v>
      </c>
      <c r="G359" s="87">
        <f t="shared" si="97"/>
        <v>8463.5</v>
      </c>
      <c r="H359" s="87">
        <f t="shared" si="97"/>
        <v>2500</v>
      </c>
      <c r="I359" s="87">
        <f t="shared" si="97"/>
        <v>57194.3</v>
      </c>
      <c r="J359" s="87">
        <f t="shared" si="97"/>
        <v>6004</v>
      </c>
      <c r="K359" s="87">
        <f t="shared" si="97"/>
        <v>0</v>
      </c>
      <c r="L359" s="87">
        <f t="shared" si="97"/>
        <v>63198.3</v>
      </c>
      <c r="M359" s="87">
        <f t="shared" si="97"/>
        <v>-2050</v>
      </c>
      <c r="N359" s="87">
        <f t="shared" si="97"/>
        <v>0</v>
      </c>
      <c r="O359" s="87">
        <f t="shared" si="97"/>
        <v>61148.299999999996</v>
      </c>
      <c r="P359" s="55"/>
      <c r="Q359" s="53"/>
    </row>
    <row r="360" spans="1:17" ht="12.75">
      <c r="A360" s="13" t="s">
        <v>38</v>
      </c>
      <c r="B360" s="13"/>
      <c r="C360" s="87"/>
      <c r="D360" s="87"/>
      <c r="E360" s="87"/>
      <c r="F360" s="87"/>
      <c r="G360" s="84"/>
      <c r="H360" s="84"/>
      <c r="I360" s="84"/>
      <c r="J360" s="84"/>
      <c r="K360" s="84"/>
      <c r="L360" s="84"/>
      <c r="M360" s="91"/>
      <c r="N360" s="84"/>
      <c r="O360" s="84"/>
      <c r="P360" s="55"/>
      <c r="Q360" s="53"/>
    </row>
    <row r="361" spans="1:17" ht="12.75">
      <c r="A361" s="15" t="s">
        <v>72</v>
      </c>
      <c r="B361" s="15"/>
      <c r="C361" s="84"/>
      <c r="D361" s="84">
        <v>600</v>
      </c>
      <c r="E361" s="84"/>
      <c r="F361" s="84">
        <f aca="true" t="shared" si="98" ref="F361:F381">C361+D361+E361</f>
        <v>600</v>
      </c>
      <c r="G361" s="84">
        <f>1700+835.8</f>
        <v>2535.8</v>
      </c>
      <c r="H361" s="84"/>
      <c r="I361" s="84">
        <f>F361+G361+H361</f>
        <v>3135.8</v>
      </c>
      <c r="J361" s="84">
        <f>785.5-497</f>
        <v>288.5</v>
      </c>
      <c r="K361" s="84"/>
      <c r="L361" s="84">
        <f>I361+J361+K361</f>
        <v>3424.3</v>
      </c>
      <c r="M361" s="91">
        <f>559.5-25.4</f>
        <v>534.1</v>
      </c>
      <c r="N361" s="84"/>
      <c r="O361" s="84">
        <f>L361+M361+N361</f>
        <v>3958.4</v>
      </c>
      <c r="P361" s="55"/>
      <c r="Q361" s="53"/>
    </row>
    <row r="362" spans="1:17" ht="12.75">
      <c r="A362" s="15" t="s">
        <v>356</v>
      </c>
      <c r="B362" s="15"/>
      <c r="C362" s="84"/>
      <c r="D362" s="84"/>
      <c r="E362" s="84"/>
      <c r="F362" s="84">
        <f t="shared" si="98"/>
        <v>0</v>
      </c>
      <c r="G362" s="84">
        <v>3500</v>
      </c>
      <c r="H362" s="84"/>
      <c r="I362" s="84">
        <f>F362+G362+H362</f>
        <v>3500</v>
      </c>
      <c r="J362" s="84"/>
      <c r="K362" s="84"/>
      <c r="L362" s="84">
        <f aca="true" t="shared" si="99" ref="L362:L381">I362+J362+K362</f>
        <v>3500</v>
      </c>
      <c r="M362" s="91"/>
      <c r="N362" s="84"/>
      <c r="O362" s="84">
        <f aca="true" t="shared" si="100" ref="O362:O381">L362+M362+N362</f>
        <v>3500</v>
      </c>
      <c r="P362" s="55"/>
      <c r="Q362" s="53"/>
    </row>
    <row r="363" spans="1:17" ht="12.75">
      <c r="A363" s="15" t="s">
        <v>110</v>
      </c>
      <c r="B363" s="15"/>
      <c r="C363" s="84"/>
      <c r="D363" s="84">
        <v>1067</v>
      </c>
      <c r="E363" s="84"/>
      <c r="F363" s="84">
        <f t="shared" si="98"/>
        <v>1067</v>
      </c>
      <c r="G363" s="84"/>
      <c r="H363" s="84"/>
      <c r="I363" s="84">
        <f aca="true" t="shared" si="101" ref="I363:I381">F363+G363+H363</f>
        <v>1067</v>
      </c>
      <c r="J363" s="84"/>
      <c r="K363" s="84"/>
      <c r="L363" s="84">
        <f t="shared" si="99"/>
        <v>1067</v>
      </c>
      <c r="M363" s="91"/>
      <c r="N363" s="84"/>
      <c r="O363" s="84">
        <f t="shared" si="100"/>
        <v>1067</v>
      </c>
      <c r="P363" s="55"/>
      <c r="Q363" s="53"/>
    </row>
    <row r="364" spans="1:17" ht="12.75">
      <c r="A364" s="11" t="s">
        <v>193</v>
      </c>
      <c r="B364" s="11"/>
      <c r="C364" s="84"/>
      <c r="D364" s="84">
        <v>5523</v>
      </c>
      <c r="E364" s="84"/>
      <c r="F364" s="84">
        <f t="shared" si="98"/>
        <v>5523</v>
      </c>
      <c r="G364" s="84"/>
      <c r="H364" s="84"/>
      <c r="I364" s="84">
        <f t="shared" si="101"/>
        <v>5523</v>
      </c>
      <c r="J364" s="84"/>
      <c r="K364" s="84"/>
      <c r="L364" s="84">
        <f t="shared" si="99"/>
        <v>5523</v>
      </c>
      <c r="M364" s="91"/>
      <c r="N364" s="84"/>
      <c r="O364" s="84">
        <f t="shared" si="100"/>
        <v>5523</v>
      </c>
      <c r="P364" s="55"/>
      <c r="Q364" s="53"/>
    </row>
    <row r="365" spans="1:17" ht="12.75">
      <c r="A365" s="15" t="s">
        <v>267</v>
      </c>
      <c r="B365" s="15"/>
      <c r="C365" s="84"/>
      <c r="D365" s="84">
        <v>2000</v>
      </c>
      <c r="E365" s="84"/>
      <c r="F365" s="84">
        <f t="shared" si="98"/>
        <v>2000</v>
      </c>
      <c r="G365" s="84">
        <f>2000-1700</f>
        <v>300</v>
      </c>
      <c r="H365" s="84"/>
      <c r="I365" s="84">
        <f t="shared" si="101"/>
        <v>2300</v>
      </c>
      <c r="J365" s="84">
        <f>797.3+497+844.8</f>
        <v>2139.1</v>
      </c>
      <c r="K365" s="84"/>
      <c r="L365" s="84">
        <f t="shared" si="99"/>
        <v>4439.1</v>
      </c>
      <c r="M365" s="91"/>
      <c r="N365" s="84"/>
      <c r="O365" s="84">
        <f t="shared" si="100"/>
        <v>4439.1</v>
      </c>
      <c r="P365" s="55"/>
      <c r="Q365" s="53"/>
    </row>
    <row r="366" spans="1:17" ht="12.75">
      <c r="A366" s="15" t="s">
        <v>280</v>
      </c>
      <c r="B366" s="15"/>
      <c r="C366" s="84"/>
      <c r="D366" s="84"/>
      <c r="E366" s="84">
        <v>2000</v>
      </c>
      <c r="F366" s="84">
        <f t="shared" si="98"/>
        <v>2000</v>
      </c>
      <c r="G366" s="84"/>
      <c r="H366" s="84"/>
      <c r="I366" s="84">
        <f t="shared" si="101"/>
        <v>2000</v>
      </c>
      <c r="J366" s="84"/>
      <c r="K366" s="84"/>
      <c r="L366" s="84">
        <f t="shared" si="99"/>
        <v>2000</v>
      </c>
      <c r="M366" s="91"/>
      <c r="N366" s="84"/>
      <c r="O366" s="84">
        <f t="shared" si="100"/>
        <v>2000</v>
      </c>
      <c r="P366" s="55"/>
      <c r="Q366" s="53"/>
    </row>
    <row r="367" spans="1:17" ht="12.75">
      <c r="A367" s="11" t="s">
        <v>299</v>
      </c>
      <c r="B367" s="11">
        <v>33037</v>
      </c>
      <c r="C367" s="84"/>
      <c r="D367" s="84"/>
      <c r="E367" s="84"/>
      <c r="F367" s="84">
        <f t="shared" si="98"/>
        <v>0</v>
      </c>
      <c r="G367" s="84">
        <v>1630</v>
      </c>
      <c r="H367" s="84"/>
      <c r="I367" s="84">
        <f t="shared" si="101"/>
        <v>1630</v>
      </c>
      <c r="J367" s="84">
        <f>161</f>
        <v>161</v>
      </c>
      <c r="K367" s="84"/>
      <c r="L367" s="84">
        <f t="shared" si="99"/>
        <v>1791</v>
      </c>
      <c r="M367" s="91"/>
      <c r="N367" s="84"/>
      <c r="O367" s="84">
        <f t="shared" si="100"/>
        <v>1791</v>
      </c>
      <c r="P367" s="55"/>
      <c r="Q367" s="53"/>
    </row>
    <row r="368" spans="1:17" ht="12.75">
      <c r="A368" s="15" t="s">
        <v>375</v>
      </c>
      <c r="B368" s="107"/>
      <c r="C368" s="84"/>
      <c r="D368" s="84"/>
      <c r="E368" s="84"/>
      <c r="F368" s="84"/>
      <c r="G368" s="84"/>
      <c r="H368" s="84"/>
      <c r="I368" s="84"/>
      <c r="J368" s="84">
        <v>746.6</v>
      </c>
      <c r="K368" s="84"/>
      <c r="L368" s="84">
        <f t="shared" si="99"/>
        <v>746.6</v>
      </c>
      <c r="M368" s="91"/>
      <c r="N368" s="84"/>
      <c r="O368" s="84">
        <f t="shared" si="100"/>
        <v>746.6</v>
      </c>
      <c r="P368" s="55"/>
      <c r="Q368" s="53"/>
    </row>
    <row r="369" spans="1:17" ht="12.75">
      <c r="A369" s="15" t="s">
        <v>369</v>
      </c>
      <c r="B369" s="107">
        <v>2500</v>
      </c>
      <c r="C369" s="84"/>
      <c r="D369" s="84"/>
      <c r="E369" s="84"/>
      <c r="F369" s="84"/>
      <c r="G369" s="84"/>
      <c r="H369" s="84"/>
      <c r="I369" s="84"/>
      <c r="J369" s="84"/>
      <c r="K369" s="84"/>
      <c r="L369" s="84">
        <f t="shared" si="99"/>
        <v>0</v>
      </c>
      <c r="M369" s="91">
        <f>305.9+6.1</f>
        <v>312</v>
      </c>
      <c r="N369" s="84"/>
      <c r="O369" s="84">
        <f t="shared" si="100"/>
        <v>312</v>
      </c>
      <c r="P369" s="55"/>
      <c r="Q369" s="53"/>
    </row>
    <row r="370" spans="1:17" ht="12.75">
      <c r="A370" s="15" t="s">
        <v>367</v>
      </c>
      <c r="B370" s="107" t="s">
        <v>377</v>
      </c>
      <c r="C370" s="84"/>
      <c r="D370" s="84"/>
      <c r="E370" s="84"/>
      <c r="F370" s="84"/>
      <c r="G370" s="84"/>
      <c r="H370" s="84"/>
      <c r="I370" s="84"/>
      <c r="J370" s="84"/>
      <c r="K370" s="84"/>
      <c r="L370" s="84">
        <f t="shared" si="99"/>
        <v>0</v>
      </c>
      <c r="M370" s="91">
        <v>291.3</v>
      </c>
      <c r="N370" s="84"/>
      <c r="O370" s="84">
        <f t="shared" si="100"/>
        <v>291.3</v>
      </c>
      <c r="P370" s="55"/>
      <c r="Q370" s="53"/>
    </row>
    <row r="371" spans="1:17" ht="12.75">
      <c r="A371" s="11" t="s">
        <v>208</v>
      </c>
      <c r="B371" s="11"/>
      <c r="C371" s="84"/>
      <c r="D371" s="84"/>
      <c r="E371" s="84"/>
      <c r="F371" s="84">
        <f t="shared" si="98"/>
        <v>0</v>
      </c>
      <c r="G371" s="84">
        <v>1275.7</v>
      </c>
      <c r="H371" s="84"/>
      <c r="I371" s="84">
        <f t="shared" si="101"/>
        <v>1275.7</v>
      </c>
      <c r="J371" s="84">
        <f>-273.2</f>
        <v>-273.2</v>
      </c>
      <c r="K371" s="84"/>
      <c r="L371" s="84">
        <f t="shared" si="99"/>
        <v>1002.5</v>
      </c>
      <c r="M371" s="91"/>
      <c r="N371" s="84"/>
      <c r="O371" s="84">
        <f t="shared" si="100"/>
        <v>1002.5</v>
      </c>
      <c r="P371" s="55"/>
      <c r="Q371" s="53"/>
    </row>
    <row r="372" spans="1:17" ht="12.75">
      <c r="A372" s="11" t="s">
        <v>342</v>
      </c>
      <c r="B372" s="11"/>
      <c r="C372" s="84"/>
      <c r="D372" s="84"/>
      <c r="E372" s="84"/>
      <c r="F372" s="84"/>
      <c r="G372" s="84"/>
      <c r="H372" s="84"/>
      <c r="I372" s="84">
        <f t="shared" si="101"/>
        <v>0</v>
      </c>
      <c r="J372" s="84">
        <v>2127.8</v>
      </c>
      <c r="K372" s="84"/>
      <c r="L372" s="84">
        <f t="shared" si="99"/>
        <v>2127.8</v>
      </c>
      <c r="M372" s="91"/>
      <c r="N372" s="84"/>
      <c r="O372" s="84">
        <f t="shared" si="100"/>
        <v>2127.8</v>
      </c>
      <c r="P372" s="55"/>
      <c r="Q372" s="53"/>
    </row>
    <row r="373" spans="1:17" ht="12.75">
      <c r="A373" s="11" t="s">
        <v>104</v>
      </c>
      <c r="B373" s="11"/>
      <c r="C373" s="91">
        <f>SUM(C374:C381)</f>
        <v>32100</v>
      </c>
      <c r="D373" s="84"/>
      <c r="E373" s="84">
        <f>E374+E376+E380</f>
        <v>2940.8</v>
      </c>
      <c r="F373" s="84">
        <f t="shared" si="98"/>
        <v>35040.8</v>
      </c>
      <c r="G373" s="84">
        <f>G374+G376+G377+G380</f>
        <v>-778</v>
      </c>
      <c r="H373" s="84">
        <f>H374+H376+H377+H380</f>
        <v>2500</v>
      </c>
      <c r="I373" s="84">
        <f t="shared" si="101"/>
        <v>36762.8</v>
      </c>
      <c r="J373" s="84">
        <f>SUM(J374:J380)</f>
        <v>814.1999999999999</v>
      </c>
      <c r="K373" s="84">
        <f>SUM(K374:K380)</f>
        <v>0</v>
      </c>
      <c r="L373" s="91">
        <f>SUM(L374:L381)</f>
        <v>37577</v>
      </c>
      <c r="M373" s="91">
        <f>SUM(M374:M381)</f>
        <v>-3187.4</v>
      </c>
      <c r="N373" s="84"/>
      <c r="O373" s="91">
        <f>SUM(O374:O381)</f>
        <v>34389.6</v>
      </c>
      <c r="P373" s="55"/>
      <c r="Q373" s="53"/>
    </row>
    <row r="374" spans="1:17" ht="12.75">
      <c r="A374" s="11" t="s">
        <v>381</v>
      </c>
      <c r="B374" s="11"/>
      <c r="C374" s="91">
        <v>31500</v>
      </c>
      <c r="D374" s="84"/>
      <c r="E374" s="84">
        <v>2773.8</v>
      </c>
      <c r="F374" s="84">
        <f t="shared" si="98"/>
        <v>34273.8</v>
      </c>
      <c r="G374" s="84">
        <v>-1500</v>
      </c>
      <c r="H374" s="84">
        <v>2500</v>
      </c>
      <c r="I374" s="84">
        <f t="shared" si="101"/>
        <v>35273.8</v>
      </c>
      <c r="J374" s="84">
        <f>356</f>
        <v>356</v>
      </c>
      <c r="K374" s="84"/>
      <c r="L374" s="84">
        <f t="shared" si="99"/>
        <v>35629.8</v>
      </c>
      <c r="M374" s="91">
        <f>-484-1905.1-1500</f>
        <v>-3889.1</v>
      </c>
      <c r="N374" s="84"/>
      <c r="O374" s="84">
        <f t="shared" si="100"/>
        <v>31740.700000000004</v>
      </c>
      <c r="P374" s="55"/>
      <c r="Q374" s="53"/>
    </row>
    <row r="375" spans="1:17" ht="12.75">
      <c r="A375" s="11" t="s">
        <v>343</v>
      </c>
      <c r="B375" s="11"/>
      <c r="C375" s="91"/>
      <c r="D375" s="84"/>
      <c r="E375" s="84"/>
      <c r="F375" s="84"/>
      <c r="G375" s="84"/>
      <c r="H375" s="84"/>
      <c r="I375" s="84">
        <f t="shared" si="101"/>
        <v>0</v>
      </c>
      <c r="J375" s="84">
        <v>14.9</v>
      </c>
      <c r="K375" s="84"/>
      <c r="L375" s="84">
        <f t="shared" si="99"/>
        <v>14.9</v>
      </c>
      <c r="M375" s="91">
        <v>134.6</v>
      </c>
      <c r="N375" s="84"/>
      <c r="O375" s="84">
        <f t="shared" si="100"/>
        <v>149.5</v>
      </c>
      <c r="P375" s="55"/>
      <c r="Q375" s="53"/>
    </row>
    <row r="376" spans="1:17" ht="12.75">
      <c r="A376" s="11" t="s">
        <v>344</v>
      </c>
      <c r="B376" s="11"/>
      <c r="C376" s="91"/>
      <c r="D376" s="84"/>
      <c r="E376" s="84">
        <v>77.9</v>
      </c>
      <c r="F376" s="84">
        <f t="shared" si="98"/>
        <v>77.9</v>
      </c>
      <c r="G376" s="84">
        <f>181+281+172.1</f>
        <v>634.1</v>
      </c>
      <c r="H376" s="84"/>
      <c r="I376" s="84">
        <f t="shared" si="101"/>
        <v>712</v>
      </c>
      <c r="J376" s="84">
        <f>223.9+0.6</f>
        <v>224.5</v>
      </c>
      <c r="K376" s="84"/>
      <c r="L376" s="84">
        <f t="shared" si="99"/>
        <v>936.5</v>
      </c>
      <c r="M376" s="91">
        <f>242+13.9+69.2</f>
        <v>325.1</v>
      </c>
      <c r="N376" s="84"/>
      <c r="O376" s="84">
        <f t="shared" si="100"/>
        <v>1261.6</v>
      </c>
      <c r="P376" s="55"/>
      <c r="Q376" s="53"/>
    </row>
    <row r="377" spans="1:17" ht="12.75">
      <c r="A377" s="11" t="s">
        <v>345</v>
      </c>
      <c r="B377" s="11"/>
      <c r="C377" s="91"/>
      <c r="D377" s="84"/>
      <c r="E377" s="84"/>
      <c r="F377" s="84">
        <f t="shared" si="98"/>
        <v>0</v>
      </c>
      <c r="G377" s="84">
        <f>87.9</f>
        <v>87.9</v>
      </c>
      <c r="H377" s="84"/>
      <c r="I377" s="84">
        <f t="shared" si="101"/>
        <v>87.9</v>
      </c>
      <c r="J377" s="84">
        <f>-81.2</f>
        <v>-81.2</v>
      </c>
      <c r="K377" s="84"/>
      <c r="L377" s="84">
        <f t="shared" si="99"/>
        <v>6.700000000000003</v>
      </c>
      <c r="M377" s="91"/>
      <c r="N377" s="84"/>
      <c r="O377" s="84">
        <f t="shared" si="100"/>
        <v>6.700000000000003</v>
      </c>
      <c r="P377" s="55"/>
      <c r="Q377" s="53"/>
    </row>
    <row r="378" spans="1:17" ht="12.75">
      <c r="A378" s="11" t="s">
        <v>346</v>
      </c>
      <c r="B378" s="11"/>
      <c r="C378" s="91"/>
      <c r="D378" s="84"/>
      <c r="E378" s="84"/>
      <c r="F378" s="84"/>
      <c r="G378" s="84"/>
      <c r="H378" s="84"/>
      <c r="I378" s="84">
        <f t="shared" si="101"/>
        <v>0</v>
      </c>
      <c r="J378" s="84">
        <v>300</v>
      </c>
      <c r="K378" s="84"/>
      <c r="L378" s="84">
        <f t="shared" si="99"/>
        <v>300</v>
      </c>
      <c r="M378" s="91"/>
      <c r="N378" s="84"/>
      <c r="O378" s="84">
        <f t="shared" si="100"/>
        <v>300</v>
      </c>
      <c r="P378" s="55"/>
      <c r="Q378" s="53"/>
    </row>
    <row r="379" spans="1:17" ht="12.75">
      <c r="A379" s="11" t="s">
        <v>361</v>
      </c>
      <c r="B379" s="11"/>
      <c r="C379" s="91"/>
      <c r="D379" s="84"/>
      <c r="E379" s="84"/>
      <c r="F379" s="84"/>
      <c r="G379" s="84"/>
      <c r="H379" s="84"/>
      <c r="I379" s="84">
        <f t="shared" si="101"/>
        <v>0</v>
      </c>
      <c r="J379" s="84"/>
      <c r="K379" s="84"/>
      <c r="L379" s="84">
        <f t="shared" si="99"/>
        <v>0</v>
      </c>
      <c r="M379" s="91">
        <f>181.5</f>
        <v>181.5</v>
      </c>
      <c r="N379" s="84"/>
      <c r="O379" s="84">
        <f t="shared" si="100"/>
        <v>181.5</v>
      </c>
      <c r="P379" s="55"/>
      <c r="Q379" s="53"/>
    </row>
    <row r="380" spans="1:17" ht="12.75">
      <c r="A380" s="11" t="s">
        <v>347</v>
      </c>
      <c r="B380" s="11"/>
      <c r="C380" s="91"/>
      <c r="D380" s="84"/>
      <c r="E380" s="84">
        <v>89.1</v>
      </c>
      <c r="F380" s="84">
        <f t="shared" si="98"/>
        <v>89.1</v>
      </c>
      <c r="G380" s="84"/>
      <c r="H380" s="84"/>
      <c r="I380" s="84">
        <f t="shared" si="101"/>
        <v>89.1</v>
      </c>
      <c r="J380" s="84"/>
      <c r="K380" s="84"/>
      <c r="L380" s="84">
        <f t="shared" si="99"/>
        <v>89.1</v>
      </c>
      <c r="M380" s="91">
        <v>60.5</v>
      </c>
      <c r="N380" s="84"/>
      <c r="O380" s="84">
        <f t="shared" si="100"/>
        <v>149.6</v>
      </c>
      <c r="P380" s="55"/>
      <c r="Q380" s="53"/>
    </row>
    <row r="381" spans="1:17" ht="12.75">
      <c r="A381" s="11" t="s">
        <v>380</v>
      </c>
      <c r="B381" s="11"/>
      <c r="C381" s="91">
        <v>600</v>
      </c>
      <c r="D381" s="84"/>
      <c r="E381" s="84"/>
      <c r="F381" s="84">
        <f t="shared" si="98"/>
        <v>600</v>
      </c>
      <c r="G381" s="84"/>
      <c r="H381" s="84"/>
      <c r="I381" s="84">
        <f t="shared" si="101"/>
        <v>600</v>
      </c>
      <c r="J381" s="84"/>
      <c r="K381" s="84"/>
      <c r="L381" s="84">
        <f t="shared" si="99"/>
        <v>600</v>
      </c>
      <c r="M381" s="91"/>
      <c r="N381" s="84"/>
      <c r="O381" s="84">
        <f t="shared" si="100"/>
        <v>600</v>
      </c>
      <c r="P381" s="55"/>
      <c r="Q381" s="53"/>
    </row>
    <row r="382" spans="1:17" ht="12.75">
      <c r="A382" s="17" t="s">
        <v>75</v>
      </c>
      <c r="B382" s="17"/>
      <c r="C382" s="87">
        <f aca="true" t="shared" si="102" ref="C382:O382">SUM(C384:C396)</f>
        <v>117320.3</v>
      </c>
      <c r="D382" s="87">
        <f t="shared" si="102"/>
        <v>345000</v>
      </c>
      <c r="E382" s="87">
        <f t="shared" si="102"/>
        <v>317938.9</v>
      </c>
      <c r="F382" s="87">
        <f t="shared" si="102"/>
        <v>780259.2</v>
      </c>
      <c r="G382" s="87">
        <f t="shared" si="102"/>
        <v>134548.19999999998</v>
      </c>
      <c r="H382" s="87">
        <f t="shared" si="102"/>
        <v>-2500</v>
      </c>
      <c r="I382" s="87">
        <f t="shared" si="102"/>
        <v>912307.3999999999</v>
      </c>
      <c r="J382" s="87">
        <f t="shared" si="102"/>
        <v>40433.6</v>
      </c>
      <c r="K382" s="87">
        <f t="shared" si="102"/>
        <v>1144.3</v>
      </c>
      <c r="L382" s="87">
        <f t="shared" si="102"/>
        <v>953885.2999999999</v>
      </c>
      <c r="M382" s="87">
        <f t="shared" si="102"/>
        <v>73908.9</v>
      </c>
      <c r="N382" s="87">
        <f t="shared" si="102"/>
        <v>0</v>
      </c>
      <c r="O382" s="87">
        <f t="shared" si="102"/>
        <v>1027794.2</v>
      </c>
      <c r="P382" s="55"/>
      <c r="Q382" s="53"/>
    </row>
    <row r="383" spans="1:17" ht="12.75">
      <c r="A383" s="13" t="s">
        <v>38</v>
      </c>
      <c r="B383" s="13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91"/>
      <c r="N383" s="84"/>
      <c r="O383" s="84"/>
      <c r="P383" s="55"/>
      <c r="Q383" s="53"/>
    </row>
    <row r="384" spans="1:17" ht="12.75">
      <c r="A384" s="15" t="s">
        <v>270</v>
      </c>
      <c r="B384" s="15"/>
      <c r="C384" s="84"/>
      <c r="D384" s="84">
        <v>14000</v>
      </c>
      <c r="E384" s="84"/>
      <c r="F384" s="84">
        <f>C384+D384+E384</f>
        <v>14000</v>
      </c>
      <c r="G384" s="84"/>
      <c r="H384" s="84"/>
      <c r="I384" s="84">
        <f aca="true" t="shared" si="103" ref="I384:I403">F384+G384+H384</f>
        <v>14000</v>
      </c>
      <c r="J384" s="84"/>
      <c r="K384" s="84"/>
      <c r="L384" s="84">
        <f aca="true" t="shared" si="104" ref="L384:L403">I384+J384+K384</f>
        <v>14000</v>
      </c>
      <c r="M384" s="91"/>
      <c r="N384" s="84"/>
      <c r="O384" s="84">
        <f aca="true" t="shared" si="105" ref="O384:O403">L384+M384+N384</f>
        <v>14000</v>
      </c>
      <c r="P384" s="55"/>
      <c r="Q384" s="53"/>
    </row>
    <row r="385" spans="1:17" ht="12.75" hidden="1">
      <c r="A385" s="15" t="s">
        <v>314</v>
      </c>
      <c r="B385" s="15"/>
      <c r="C385" s="84"/>
      <c r="D385" s="84"/>
      <c r="E385" s="84"/>
      <c r="F385" s="84">
        <f>C385+D385+E385</f>
        <v>0</v>
      </c>
      <c r="G385" s="84">
        <v>1000</v>
      </c>
      <c r="H385" s="84"/>
      <c r="I385" s="84">
        <f t="shared" si="103"/>
        <v>1000</v>
      </c>
      <c r="J385" s="84">
        <v>-1000</v>
      </c>
      <c r="K385" s="84"/>
      <c r="L385" s="84">
        <f t="shared" si="104"/>
        <v>0</v>
      </c>
      <c r="M385" s="91"/>
      <c r="N385" s="84"/>
      <c r="O385" s="84">
        <f t="shared" si="105"/>
        <v>0</v>
      </c>
      <c r="P385" s="55"/>
      <c r="Q385" s="53"/>
    </row>
    <row r="386" spans="1:17" ht="12.75">
      <c r="A386" s="15" t="s">
        <v>300</v>
      </c>
      <c r="B386" s="15"/>
      <c r="C386" s="84"/>
      <c r="D386" s="84"/>
      <c r="E386" s="84">
        <v>1839.4</v>
      </c>
      <c r="F386" s="84">
        <f aca="true" t="shared" si="106" ref="F386:F403">C386+D386+E386</f>
        <v>1839.4</v>
      </c>
      <c r="G386" s="84"/>
      <c r="H386" s="84"/>
      <c r="I386" s="84">
        <f t="shared" si="103"/>
        <v>1839.4</v>
      </c>
      <c r="J386" s="84"/>
      <c r="K386" s="84"/>
      <c r="L386" s="84">
        <f t="shared" si="104"/>
        <v>1839.4</v>
      </c>
      <c r="M386" s="91"/>
      <c r="N386" s="84"/>
      <c r="O386" s="84">
        <f t="shared" si="105"/>
        <v>1839.4</v>
      </c>
      <c r="P386" s="55"/>
      <c r="Q386" s="53"/>
    </row>
    <row r="387" spans="1:17" ht="12.75">
      <c r="A387" s="15" t="s">
        <v>299</v>
      </c>
      <c r="B387" s="107">
        <v>33939</v>
      </c>
      <c r="C387" s="84"/>
      <c r="D387" s="84"/>
      <c r="E387" s="84"/>
      <c r="F387" s="84">
        <f t="shared" si="106"/>
        <v>0</v>
      </c>
      <c r="G387" s="84">
        <v>23144.8</v>
      </c>
      <c r="H387" s="84"/>
      <c r="I387" s="84">
        <f t="shared" si="103"/>
        <v>23144.8</v>
      </c>
      <c r="J387" s="84"/>
      <c r="K387" s="84"/>
      <c r="L387" s="84">
        <f>I387+J387+K387</f>
        <v>23144.8</v>
      </c>
      <c r="M387" s="91"/>
      <c r="N387" s="84"/>
      <c r="O387" s="84">
        <f t="shared" si="105"/>
        <v>23144.8</v>
      </c>
      <c r="P387" s="55"/>
      <c r="Q387" s="53"/>
    </row>
    <row r="388" spans="1:17" ht="12.75">
      <c r="A388" s="15" t="s">
        <v>375</v>
      </c>
      <c r="B388" s="107"/>
      <c r="C388" s="84"/>
      <c r="D388" s="84"/>
      <c r="E388" s="84"/>
      <c r="F388" s="84"/>
      <c r="G388" s="84"/>
      <c r="H388" s="84"/>
      <c r="I388" s="84"/>
      <c r="J388" s="84">
        <f>16889.5</f>
        <v>16889.5</v>
      </c>
      <c r="K388" s="84"/>
      <c r="L388" s="84">
        <f>I388+J388+K388</f>
        <v>16889.5</v>
      </c>
      <c r="M388" s="91"/>
      <c r="N388" s="84"/>
      <c r="O388" s="84">
        <f t="shared" si="105"/>
        <v>16889.5</v>
      </c>
      <c r="P388" s="55"/>
      <c r="Q388" s="53"/>
    </row>
    <row r="389" spans="1:17" ht="12.75">
      <c r="A389" s="15" t="s">
        <v>370</v>
      </c>
      <c r="B389" s="107">
        <v>13899</v>
      </c>
      <c r="C389" s="84"/>
      <c r="D389" s="84"/>
      <c r="E389" s="84"/>
      <c r="F389" s="84"/>
      <c r="G389" s="84"/>
      <c r="H389" s="84"/>
      <c r="I389" s="84"/>
      <c r="J389" s="84"/>
      <c r="K389" s="84"/>
      <c r="L389" s="84">
        <f>I389+J389+K389</f>
        <v>0</v>
      </c>
      <c r="M389" s="91">
        <v>4076.6</v>
      </c>
      <c r="N389" s="84"/>
      <c r="O389" s="84">
        <f t="shared" si="105"/>
        <v>4076.6</v>
      </c>
      <c r="P389" s="55"/>
      <c r="Q389" s="53"/>
    </row>
    <row r="390" spans="1:17" ht="12.75">
      <c r="A390" s="11" t="s">
        <v>208</v>
      </c>
      <c r="B390" s="11"/>
      <c r="C390" s="84"/>
      <c r="D390" s="84"/>
      <c r="E390" s="84"/>
      <c r="F390" s="84">
        <f t="shared" si="106"/>
        <v>0</v>
      </c>
      <c r="G390" s="84">
        <v>1854.7</v>
      </c>
      <c r="H390" s="84"/>
      <c r="I390" s="84">
        <f t="shared" si="103"/>
        <v>1854.7</v>
      </c>
      <c r="J390" s="84">
        <f>-1854.6</f>
        <v>-1854.6</v>
      </c>
      <c r="K390" s="84"/>
      <c r="L390" s="84">
        <f t="shared" si="104"/>
        <v>0.10000000000013642</v>
      </c>
      <c r="M390" s="91"/>
      <c r="N390" s="84"/>
      <c r="O390" s="84">
        <f t="shared" si="105"/>
        <v>0.10000000000013642</v>
      </c>
      <c r="P390" s="55"/>
      <c r="Q390" s="53"/>
    </row>
    <row r="391" spans="1:17" ht="12.75">
      <c r="A391" s="15" t="s">
        <v>266</v>
      </c>
      <c r="B391" s="15"/>
      <c r="C391" s="84"/>
      <c r="D391" s="84">
        <v>300000</v>
      </c>
      <c r="E391" s="84"/>
      <c r="F391" s="84">
        <f t="shared" si="106"/>
        <v>300000</v>
      </c>
      <c r="G391" s="84"/>
      <c r="H391" s="84"/>
      <c r="I391" s="84">
        <f t="shared" si="103"/>
        <v>300000</v>
      </c>
      <c r="J391" s="84"/>
      <c r="K391" s="84"/>
      <c r="L391" s="84">
        <f t="shared" si="104"/>
        <v>300000</v>
      </c>
      <c r="M391" s="91"/>
      <c r="N391" s="84"/>
      <c r="O391" s="84">
        <f t="shared" si="105"/>
        <v>300000</v>
      </c>
      <c r="P391" s="55"/>
      <c r="Q391" s="53"/>
    </row>
    <row r="392" spans="1:17" ht="12.75">
      <c r="A392" s="15" t="s">
        <v>271</v>
      </c>
      <c r="B392" s="109" t="s">
        <v>376</v>
      </c>
      <c r="C392" s="84"/>
      <c r="D392" s="84">
        <v>29000</v>
      </c>
      <c r="E392" s="84">
        <v>-2000</v>
      </c>
      <c r="F392" s="84">
        <f t="shared" si="106"/>
        <v>27000</v>
      </c>
      <c r="G392" s="84">
        <f>10000+2000</f>
        <v>12000</v>
      </c>
      <c r="H392" s="84"/>
      <c r="I392" s="84">
        <f t="shared" si="103"/>
        <v>39000</v>
      </c>
      <c r="J392" s="84"/>
      <c r="K392" s="84"/>
      <c r="L392" s="84">
        <f t="shared" si="104"/>
        <v>39000</v>
      </c>
      <c r="M392" s="91">
        <v>5000</v>
      </c>
      <c r="N392" s="84"/>
      <c r="O392" s="84">
        <f t="shared" si="105"/>
        <v>44000</v>
      </c>
      <c r="P392" s="55"/>
      <c r="Q392" s="53"/>
    </row>
    <row r="393" spans="1:17" ht="12.75">
      <c r="A393" s="15" t="s">
        <v>386</v>
      </c>
      <c r="B393" s="109"/>
      <c r="C393" s="84"/>
      <c r="D393" s="84"/>
      <c r="E393" s="84"/>
      <c r="F393" s="84"/>
      <c r="G393" s="84"/>
      <c r="H393" s="84"/>
      <c r="I393" s="84"/>
      <c r="J393" s="84"/>
      <c r="K393" s="84"/>
      <c r="L393" s="84">
        <f t="shared" si="104"/>
        <v>0</v>
      </c>
      <c r="M393" s="91">
        <v>30000</v>
      </c>
      <c r="N393" s="84"/>
      <c r="O393" s="84">
        <f t="shared" si="105"/>
        <v>30000</v>
      </c>
      <c r="P393" s="55"/>
      <c r="Q393" s="53"/>
    </row>
    <row r="394" spans="1:17" ht="12.75">
      <c r="A394" s="15" t="s">
        <v>308</v>
      </c>
      <c r="B394" s="107" t="s">
        <v>349</v>
      </c>
      <c r="C394" s="84"/>
      <c r="D394" s="84"/>
      <c r="E394" s="84"/>
      <c r="F394" s="84">
        <f t="shared" si="106"/>
        <v>0</v>
      </c>
      <c r="G394" s="84">
        <v>9394.8</v>
      </c>
      <c r="H394" s="84"/>
      <c r="I394" s="84">
        <f t="shared" si="103"/>
        <v>9394.8</v>
      </c>
      <c r="J394" s="84"/>
      <c r="K394" s="84"/>
      <c r="L394" s="84">
        <f t="shared" si="104"/>
        <v>9394.8</v>
      </c>
      <c r="M394" s="91"/>
      <c r="N394" s="84"/>
      <c r="O394" s="84">
        <f t="shared" si="105"/>
        <v>9394.8</v>
      </c>
      <c r="P394" s="55"/>
      <c r="Q394" s="53"/>
    </row>
    <row r="395" spans="1:17" ht="12.75">
      <c r="A395" s="15" t="s">
        <v>341</v>
      </c>
      <c r="B395" s="15"/>
      <c r="C395" s="84"/>
      <c r="D395" s="84">
        <v>2000</v>
      </c>
      <c r="E395" s="84"/>
      <c r="F395" s="84">
        <f t="shared" si="106"/>
        <v>2000</v>
      </c>
      <c r="G395" s="84">
        <v>-2000</v>
      </c>
      <c r="H395" s="84"/>
      <c r="I395" s="84">
        <f t="shared" si="103"/>
        <v>0</v>
      </c>
      <c r="J395" s="84">
        <v>150</v>
      </c>
      <c r="K395" s="84"/>
      <c r="L395" s="84">
        <f t="shared" si="104"/>
        <v>150</v>
      </c>
      <c r="M395" s="91"/>
      <c r="N395" s="84"/>
      <c r="O395" s="84">
        <f t="shared" si="105"/>
        <v>150</v>
      </c>
      <c r="P395" s="55"/>
      <c r="Q395" s="53"/>
    </row>
    <row r="396" spans="1:17" ht="12.75">
      <c r="A396" s="15" t="s">
        <v>272</v>
      </c>
      <c r="B396" s="15"/>
      <c r="C396" s="84">
        <f aca="true" t="shared" si="107" ref="C396:O396">SUM(C397:C403)</f>
        <v>117320.3</v>
      </c>
      <c r="D396" s="84">
        <f t="shared" si="107"/>
        <v>0</v>
      </c>
      <c r="E396" s="84">
        <f t="shared" si="107"/>
        <v>318099.5</v>
      </c>
      <c r="F396" s="84">
        <f t="shared" si="107"/>
        <v>435419.8</v>
      </c>
      <c r="G396" s="84">
        <f t="shared" si="107"/>
        <v>89153.89999999998</v>
      </c>
      <c r="H396" s="84">
        <f t="shared" si="107"/>
        <v>-2500</v>
      </c>
      <c r="I396" s="84">
        <f t="shared" si="107"/>
        <v>522073.69999999995</v>
      </c>
      <c r="J396" s="84">
        <f t="shared" si="107"/>
        <v>26248.699999999997</v>
      </c>
      <c r="K396" s="84">
        <f t="shared" si="107"/>
        <v>1144.3</v>
      </c>
      <c r="L396" s="84">
        <f t="shared" si="107"/>
        <v>549466.7</v>
      </c>
      <c r="M396" s="84">
        <f t="shared" si="107"/>
        <v>34832.3</v>
      </c>
      <c r="N396" s="84">
        <f t="shared" si="107"/>
        <v>0</v>
      </c>
      <c r="O396" s="84">
        <f t="shared" si="107"/>
        <v>584298.9999999999</v>
      </c>
      <c r="P396" s="55"/>
      <c r="Q396" s="53"/>
    </row>
    <row r="397" spans="1:17" ht="12.75">
      <c r="A397" s="15" t="s">
        <v>321</v>
      </c>
      <c r="B397" s="15"/>
      <c r="C397" s="84"/>
      <c r="D397" s="84"/>
      <c r="E397" s="84"/>
      <c r="F397" s="84">
        <f t="shared" si="106"/>
        <v>0</v>
      </c>
      <c r="G397" s="91">
        <f>6401.4+10790.5</f>
        <v>17191.9</v>
      </c>
      <c r="H397" s="84"/>
      <c r="I397" s="84">
        <f t="shared" si="103"/>
        <v>17191.9</v>
      </c>
      <c r="J397" s="84">
        <v>-14.9</v>
      </c>
      <c r="K397" s="84"/>
      <c r="L397" s="84">
        <f t="shared" si="104"/>
        <v>17177</v>
      </c>
      <c r="M397" s="91">
        <f>-1246.8-134.6</f>
        <v>-1381.3999999999999</v>
      </c>
      <c r="N397" s="84"/>
      <c r="O397" s="84">
        <f t="shared" si="105"/>
        <v>15795.6</v>
      </c>
      <c r="P397" s="55"/>
      <c r="Q397" s="53"/>
    </row>
    <row r="398" spans="1:17" ht="12.75">
      <c r="A398" s="15" t="s">
        <v>273</v>
      </c>
      <c r="B398" s="15"/>
      <c r="C398" s="84">
        <v>58450</v>
      </c>
      <c r="D398" s="84"/>
      <c r="E398" s="84"/>
      <c r="F398" s="84">
        <f t="shared" si="106"/>
        <v>58450</v>
      </c>
      <c r="G398" s="84">
        <f>40425.6+8766.9+12341.2+9174.5+18217.1</f>
        <v>88925.29999999999</v>
      </c>
      <c r="H398" s="84"/>
      <c r="I398" s="84">
        <f t="shared" si="103"/>
        <v>147375.3</v>
      </c>
      <c r="J398" s="84">
        <f>-16850.9</f>
        <v>-16850.9</v>
      </c>
      <c r="K398" s="84"/>
      <c r="L398" s="84">
        <f t="shared" si="104"/>
        <v>130524.4</v>
      </c>
      <c r="M398" s="91">
        <f>192.5+7083+716.4+6527.9</f>
        <v>14519.8</v>
      </c>
      <c r="N398" s="84"/>
      <c r="O398" s="84">
        <f t="shared" si="105"/>
        <v>145044.19999999998</v>
      </c>
      <c r="P398" s="55"/>
      <c r="Q398" s="53"/>
    </row>
    <row r="399" spans="1:17" ht="12.75">
      <c r="A399" s="15" t="s">
        <v>274</v>
      </c>
      <c r="B399" s="15"/>
      <c r="C399" s="84">
        <v>20190</v>
      </c>
      <c r="D399" s="84"/>
      <c r="E399" s="113">
        <f>22005.8+1045.1-77.9</f>
        <v>22972.999999999996</v>
      </c>
      <c r="F399" s="84">
        <f>C399+D399+E399</f>
        <v>43163</v>
      </c>
      <c r="G399" s="84">
        <f>1770.9+10551.2+3888.9+4644.2+144.7+170.2+2028.3</f>
        <v>23198.4</v>
      </c>
      <c r="H399" s="84"/>
      <c r="I399" s="84">
        <f t="shared" si="103"/>
        <v>66361.4</v>
      </c>
      <c r="J399" s="84">
        <f>251.8+1856+56.9+108.2+16.5+3817.1-0.6</f>
        <v>6105.9</v>
      </c>
      <c r="K399" s="84"/>
      <c r="L399" s="84">
        <f t="shared" si="104"/>
        <v>72467.29999999999</v>
      </c>
      <c r="M399" s="91">
        <f>10579.6+7.1+1084.7+12083.4+96.8+6678.5+2265.8+468.9</f>
        <v>33264.8</v>
      </c>
      <c r="N399" s="84"/>
      <c r="O399" s="84">
        <f t="shared" si="105"/>
        <v>105732.09999999999</v>
      </c>
      <c r="P399" s="55"/>
      <c r="Q399" s="53"/>
    </row>
    <row r="400" spans="1:17" ht="12.75">
      <c r="A400" s="15" t="s">
        <v>279</v>
      </c>
      <c r="B400" s="15"/>
      <c r="C400" s="84"/>
      <c r="D400" s="84"/>
      <c r="E400" s="84">
        <f>87.2+51000+95.3+1943.7</f>
        <v>53126.2</v>
      </c>
      <c r="F400" s="84">
        <f t="shared" si="106"/>
        <v>53126.2</v>
      </c>
      <c r="G400" s="84"/>
      <c r="H400" s="84">
        <v>-2500</v>
      </c>
      <c r="I400" s="84">
        <f t="shared" si="103"/>
        <v>50626.2</v>
      </c>
      <c r="J400" s="84">
        <f>1546.8</f>
        <v>1546.8</v>
      </c>
      <c r="K400" s="84"/>
      <c r="L400" s="84">
        <f t="shared" si="104"/>
        <v>52173</v>
      </c>
      <c r="M400" s="91">
        <f>415.5+1002.4</f>
        <v>1417.9</v>
      </c>
      <c r="N400" s="84"/>
      <c r="O400" s="84">
        <f t="shared" si="105"/>
        <v>53590.9</v>
      </c>
      <c r="P400" s="55"/>
      <c r="Q400" s="53"/>
    </row>
    <row r="401" spans="1:17" ht="12.75">
      <c r="A401" s="15" t="s">
        <v>275</v>
      </c>
      <c r="B401" s="15"/>
      <c r="C401" s="84">
        <v>1834</v>
      </c>
      <c r="D401" s="84"/>
      <c r="E401" s="84"/>
      <c r="F401" s="84">
        <f t="shared" si="106"/>
        <v>1834</v>
      </c>
      <c r="G401" s="84"/>
      <c r="H401" s="84"/>
      <c r="I401" s="84">
        <f t="shared" si="103"/>
        <v>1834</v>
      </c>
      <c r="J401" s="84"/>
      <c r="K401" s="84"/>
      <c r="L401" s="84">
        <f t="shared" si="104"/>
        <v>1834</v>
      </c>
      <c r="M401" s="91">
        <f>404.9+25.4</f>
        <v>430.29999999999995</v>
      </c>
      <c r="N401" s="84"/>
      <c r="O401" s="84">
        <f t="shared" si="105"/>
        <v>2264.3</v>
      </c>
      <c r="P401" s="55"/>
      <c r="Q401" s="53"/>
    </row>
    <row r="402" spans="1:17" ht="12.75">
      <c r="A402" s="15" t="s">
        <v>312</v>
      </c>
      <c r="B402" s="15"/>
      <c r="C402" s="84"/>
      <c r="D402" s="84"/>
      <c r="E402" s="84"/>
      <c r="F402" s="84">
        <f t="shared" si="106"/>
        <v>0</v>
      </c>
      <c r="G402" s="84">
        <f>1000+2350</f>
        <v>3350</v>
      </c>
      <c r="H402" s="84"/>
      <c r="I402" s="84">
        <f t="shared" si="103"/>
        <v>3350</v>
      </c>
      <c r="J402" s="84">
        <v>-300</v>
      </c>
      <c r="K402" s="84"/>
      <c r="L402" s="84">
        <f t="shared" si="104"/>
        <v>3050</v>
      </c>
      <c r="M402" s="91">
        <f>1627.2+1500+1160.8+1246.8</f>
        <v>5534.8</v>
      </c>
      <c r="N402" s="84"/>
      <c r="O402" s="84">
        <f t="shared" si="105"/>
        <v>8584.8</v>
      </c>
      <c r="P402" s="55"/>
      <c r="Q402" s="53"/>
    </row>
    <row r="403" spans="1:17" ht="12.75">
      <c r="A403" s="22" t="s">
        <v>319</v>
      </c>
      <c r="B403" s="22"/>
      <c r="C403" s="88">
        <v>36846.3</v>
      </c>
      <c r="D403" s="88"/>
      <c r="E403" s="88">
        <f>141892.6+100107.7</f>
        <v>242000.3</v>
      </c>
      <c r="F403" s="88">
        <f t="shared" si="106"/>
        <v>278846.6</v>
      </c>
      <c r="G403" s="92">
        <f>-1505.3-265.6-153.8-27.2-9987.3-563.8-238.9-42.2-3160.6-728.3-4644.2-123-21.7-146.3-25.8-1544.4-2028.3-18305</f>
        <v>-43511.7</v>
      </c>
      <c r="H403" s="88"/>
      <c r="I403" s="88">
        <f t="shared" si="103"/>
        <v>235334.89999999997</v>
      </c>
      <c r="J403" s="88">
        <f>2199.3+2743+514.4+48+9384.7+1489.8-453.6-248.9-2.5-0.4-1546.8-1856-223.9-55.3-1.6-11000-4000-2765.6-108.2-16.5-475.4-3758.4-58.7+2122.9+16932.1+11000+4000-785.5+2229.8+10455.1</f>
        <v>35761.8</v>
      </c>
      <c r="K403" s="88">
        <v>1144.3</v>
      </c>
      <c r="L403" s="88">
        <f t="shared" si="104"/>
        <v>272240.99999999994</v>
      </c>
      <c r="M403" s="92">
        <f>5794.3+111.3+1956.1+1328.5-10579.6-7.1-27864.3-1986.9-1938-342-1002.4-716.4-13.9-1627.2-2500-12083.4-166-1160.8+2162.6+25431+2905.8+117.1+107+57.1-171-6507.5-2265.8-398.6-70.3-559.5+13000+36</f>
        <v>-18953.900000000005</v>
      </c>
      <c r="N403" s="88"/>
      <c r="O403" s="88">
        <f t="shared" si="105"/>
        <v>253287.09999999995</v>
      </c>
      <c r="P403" s="55"/>
      <c r="Q403" s="53"/>
    </row>
    <row r="404" spans="1:17" ht="12.75">
      <c r="A404" s="8" t="s">
        <v>136</v>
      </c>
      <c r="B404" s="8"/>
      <c r="C404" s="83">
        <f aca="true" t="shared" si="108" ref="C404:O404">C405+C431</f>
        <v>163499</v>
      </c>
      <c r="D404" s="83">
        <f t="shared" si="108"/>
        <v>0</v>
      </c>
      <c r="E404" s="83">
        <f t="shared" si="108"/>
        <v>17294.5</v>
      </c>
      <c r="F404" s="83">
        <f t="shared" si="108"/>
        <v>180793.5</v>
      </c>
      <c r="G404" s="83">
        <f t="shared" si="108"/>
        <v>21221.6</v>
      </c>
      <c r="H404" s="83">
        <f t="shared" si="108"/>
        <v>0</v>
      </c>
      <c r="I404" s="83">
        <f t="shared" si="108"/>
        <v>202015.09999999998</v>
      </c>
      <c r="J404" s="83">
        <f t="shared" si="108"/>
        <v>66352.9</v>
      </c>
      <c r="K404" s="83">
        <f t="shared" si="108"/>
        <v>0</v>
      </c>
      <c r="L404" s="83">
        <f t="shared" si="108"/>
        <v>268368</v>
      </c>
      <c r="M404" s="83">
        <f t="shared" si="108"/>
        <v>3873.2</v>
      </c>
      <c r="N404" s="83">
        <f t="shared" si="108"/>
        <v>0</v>
      </c>
      <c r="O404" s="83">
        <f t="shared" si="108"/>
        <v>272241.2</v>
      </c>
      <c r="P404" s="56"/>
      <c r="Q404" s="38">
        <f>Q405+Q431</f>
        <v>180686.09999999998</v>
      </c>
    </row>
    <row r="405" spans="1:17" ht="12.75">
      <c r="A405" s="17" t="s">
        <v>69</v>
      </c>
      <c r="B405" s="17"/>
      <c r="C405" s="87">
        <f aca="true" t="shared" si="109" ref="C405:O405">SUM(C407:C430)</f>
        <v>163499</v>
      </c>
      <c r="D405" s="87">
        <f t="shared" si="109"/>
        <v>0</v>
      </c>
      <c r="E405" s="87">
        <f t="shared" si="109"/>
        <v>17294.5</v>
      </c>
      <c r="F405" s="87">
        <f t="shared" si="109"/>
        <v>180793.5</v>
      </c>
      <c r="G405" s="87">
        <f t="shared" si="109"/>
        <v>21221.6</v>
      </c>
      <c r="H405" s="87">
        <f t="shared" si="109"/>
        <v>0</v>
      </c>
      <c r="I405" s="87">
        <f t="shared" si="109"/>
        <v>202015.09999999998</v>
      </c>
      <c r="J405" s="87">
        <f t="shared" si="109"/>
        <v>66352.9</v>
      </c>
      <c r="K405" s="87">
        <f t="shared" si="109"/>
        <v>0</v>
      </c>
      <c r="L405" s="87">
        <f t="shared" si="109"/>
        <v>268368</v>
      </c>
      <c r="M405" s="87">
        <f t="shared" si="109"/>
        <v>3873.2</v>
      </c>
      <c r="N405" s="87">
        <f t="shared" si="109"/>
        <v>0</v>
      </c>
      <c r="O405" s="87">
        <f t="shared" si="109"/>
        <v>272241.2</v>
      </c>
      <c r="P405" s="60"/>
      <c r="Q405" s="39">
        <f>SUM(Q407:Q430)</f>
        <v>180686.09999999998</v>
      </c>
    </row>
    <row r="406" spans="1:17" ht="12.75">
      <c r="A406" s="13" t="s">
        <v>38</v>
      </c>
      <c r="B406" s="13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55"/>
      <c r="Q406" s="53"/>
    </row>
    <row r="407" spans="1:17" ht="12.75">
      <c r="A407" s="24" t="s">
        <v>137</v>
      </c>
      <c r="B407" s="24"/>
      <c r="C407" s="84">
        <v>129351</v>
      </c>
      <c r="D407" s="84"/>
      <c r="E407" s="84"/>
      <c r="F407" s="84">
        <f>C407+D407+E407</f>
        <v>129351</v>
      </c>
      <c r="G407" s="84"/>
      <c r="H407" s="84"/>
      <c r="I407" s="84">
        <f>F407+G407+H407</f>
        <v>129351</v>
      </c>
      <c r="J407" s="84"/>
      <c r="K407" s="84"/>
      <c r="L407" s="84">
        <f>I407+J407+K407</f>
        <v>129351</v>
      </c>
      <c r="M407" s="84"/>
      <c r="N407" s="84"/>
      <c r="O407" s="84">
        <f>L407+M407+N407</f>
        <v>129351</v>
      </c>
      <c r="P407" s="55"/>
      <c r="Q407" s="53">
        <f>O407+P407</f>
        <v>129351</v>
      </c>
    </row>
    <row r="408" spans="1:17" ht="12.75">
      <c r="A408" s="11" t="s">
        <v>252</v>
      </c>
      <c r="B408" s="11"/>
      <c r="C408" s="84">
        <v>26000</v>
      </c>
      <c r="D408" s="84"/>
      <c r="E408" s="84"/>
      <c r="F408" s="84">
        <f aca="true" t="shared" si="110" ref="F408:F430">C408+D408+E408</f>
        <v>26000</v>
      </c>
      <c r="G408" s="84"/>
      <c r="H408" s="84"/>
      <c r="I408" s="84">
        <f>F408+G408+H408</f>
        <v>26000</v>
      </c>
      <c r="J408" s="84"/>
      <c r="K408" s="84"/>
      <c r="L408" s="84">
        <f>I408+J408+K408</f>
        <v>26000</v>
      </c>
      <c r="M408" s="84"/>
      <c r="N408" s="84"/>
      <c r="O408" s="84">
        <f aca="true" t="shared" si="111" ref="O408:O430">L408+M408+N408</f>
        <v>26000</v>
      </c>
      <c r="P408" s="55"/>
      <c r="Q408" s="53"/>
    </row>
    <row r="409" spans="1:17" ht="12.75">
      <c r="A409" s="11" t="s">
        <v>72</v>
      </c>
      <c r="B409" s="11"/>
      <c r="C409" s="84">
        <v>8148</v>
      </c>
      <c r="D409" s="84"/>
      <c r="E409" s="84"/>
      <c r="F409" s="84">
        <f t="shared" si="110"/>
        <v>8148</v>
      </c>
      <c r="G409" s="84"/>
      <c r="H409" s="84"/>
      <c r="I409" s="84">
        <f aca="true" t="shared" si="112" ref="I409:I430">F409+G409+H409</f>
        <v>8148</v>
      </c>
      <c r="J409" s="84"/>
      <c r="K409" s="84"/>
      <c r="L409" s="84">
        <f aca="true" t="shared" si="113" ref="L409:L430">I409+J409+K409</f>
        <v>8148</v>
      </c>
      <c r="M409" s="84"/>
      <c r="N409" s="84"/>
      <c r="O409" s="84">
        <f t="shared" si="111"/>
        <v>8148</v>
      </c>
      <c r="P409" s="55"/>
      <c r="Q409" s="53">
        <f aca="true" t="shared" si="114" ref="Q409:Q430">O409+P409</f>
        <v>8148</v>
      </c>
    </row>
    <row r="410" spans="1:17" ht="12.75">
      <c r="A410" s="11" t="s">
        <v>357</v>
      </c>
      <c r="B410" s="11"/>
      <c r="C410" s="84"/>
      <c r="D410" s="84"/>
      <c r="E410" s="84"/>
      <c r="F410" s="84">
        <f t="shared" si="110"/>
        <v>0</v>
      </c>
      <c r="G410" s="84"/>
      <c r="H410" s="84"/>
      <c r="I410" s="84">
        <f t="shared" si="112"/>
        <v>0</v>
      </c>
      <c r="J410" s="84">
        <v>500</v>
      </c>
      <c r="K410" s="84"/>
      <c r="L410" s="84">
        <f t="shared" si="113"/>
        <v>500</v>
      </c>
      <c r="M410" s="84"/>
      <c r="N410" s="84"/>
      <c r="O410" s="84">
        <f t="shared" si="111"/>
        <v>500</v>
      </c>
      <c r="P410" s="55"/>
      <c r="Q410" s="53">
        <f t="shared" si="114"/>
        <v>500</v>
      </c>
    </row>
    <row r="411" spans="1:17" ht="12.75">
      <c r="A411" s="20" t="s">
        <v>318</v>
      </c>
      <c r="B411" s="101">
        <v>4802</v>
      </c>
      <c r="C411" s="84"/>
      <c r="D411" s="84"/>
      <c r="E411" s="84"/>
      <c r="F411" s="84">
        <f t="shared" si="110"/>
        <v>0</v>
      </c>
      <c r="G411" s="84">
        <v>1576.4</v>
      </c>
      <c r="H411" s="84"/>
      <c r="I411" s="84">
        <f t="shared" si="112"/>
        <v>1576.4</v>
      </c>
      <c r="J411" s="84"/>
      <c r="K411" s="84"/>
      <c r="L411" s="84">
        <f t="shared" si="113"/>
        <v>1576.4</v>
      </c>
      <c r="M411" s="84"/>
      <c r="N411" s="84"/>
      <c r="O411" s="84">
        <f t="shared" si="111"/>
        <v>1576.4</v>
      </c>
      <c r="P411" s="55"/>
      <c r="Q411" s="53">
        <f t="shared" si="114"/>
        <v>1576.4</v>
      </c>
    </row>
    <row r="412" spans="1:17" ht="12.75" hidden="1">
      <c r="A412" s="20" t="s">
        <v>206</v>
      </c>
      <c r="B412" s="101"/>
      <c r="C412" s="84"/>
      <c r="D412" s="84"/>
      <c r="E412" s="84"/>
      <c r="F412" s="84">
        <f t="shared" si="110"/>
        <v>0</v>
      </c>
      <c r="G412" s="84"/>
      <c r="H412" s="84"/>
      <c r="I412" s="84">
        <f t="shared" si="112"/>
        <v>0</v>
      </c>
      <c r="J412" s="84"/>
      <c r="K412" s="84"/>
      <c r="L412" s="84">
        <f t="shared" si="113"/>
        <v>0</v>
      </c>
      <c r="M412" s="84"/>
      <c r="N412" s="84"/>
      <c r="O412" s="84">
        <f t="shared" si="111"/>
        <v>0</v>
      </c>
      <c r="P412" s="55"/>
      <c r="Q412" s="53">
        <f t="shared" si="114"/>
        <v>0</v>
      </c>
    </row>
    <row r="413" spans="1:17" ht="12.75">
      <c r="A413" s="9" t="s">
        <v>283</v>
      </c>
      <c r="B413" s="114" t="s">
        <v>350</v>
      </c>
      <c r="C413" s="84"/>
      <c r="D413" s="84"/>
      <c r="E413" s="84">
        <v>489.4</v>
      </c>
      <c r="F413" s="84">
        <f t="shared" si="110"/>
        <v>489.4</v>
      </c>
      <c r="G413" s="84"/>
      <c r="H413" s="84"/>
      <c r="I413" s="84">
        <f t="shared" si="112"/>
        <v>489.4</v>
      </c>
      <c r="J413" s="84"/>
      <c r="K413" s="84"/>
      <c r="L413" s="84">
        <f t="shared" si="113"/>
        <v>489.4</v>
      </c>
      <c r="M413" s="84"/>
      <c r="N413" s="84"/>
      <c r="O413" s="84">
        <f t="shared" si="111"/>
        <v>489.4</v>
      </c>
      <c r="P413" s="55"/>
      <c r="Q413" s="53">
        <f t="shared" si="114"/>
        <v>489.4</v>
      </c>
    </row>
    <row r="414" spans="1:17" ht="12.75">
      <c r="A414" s="9" t="s">
        <v>337</v>
      </c>
      <c r="B414" s="101"/>
      <c r="C414" s="84"/>
      <c r="D414" s="84"/>
      <c r="E414" s="84"/>
      <c r="F414" s="84"/>
      <c r="G414" s="84"/>
      <c r="H414" s="84"/>
      <c r="I414" s="84">
        <f t="shared" si="112"/>
        <v>0</v>
      </c>
      <c r="J414" s="84">
        <v>332.4</v>
      </c>
      <c r="K414" s="84"/>
      <c r="L414" s="84">
        <f t="shared" si="113"/>
        <v>332.4</v>
      </c>
      <c r="M414" s="84">
        <v>373.2</v>
      </c>
      <c r="N414" s="84"/>
      <c r="O414" s="84">
        <f t="shared" si="111"/>
        <v>705.5999999999999</v>
      </c>
      <c r="P414" s="55"/>
      <c r="Q414" s="53"/>
    </row>
    <row r="415" spans="1:17" ht="12.75">
      <c r="A415" s="20" t="s">
        <v>315</v>
      </c>
      <c r="B415" s="101">
        <v>4702</v>
      </c>
      <c r="C415" s="84"/>
      <c r="D415" s="84"/>
      <c r="E415" s="84"/>
      <c r="F415" s="84">
        <f t="shared" si="110"/>
        <v>0</v>
      </c>
      <c r="G415" s="84">
        <v>2456.5</v>
      </c>
      <c r="H415" s="84"/>
      <c r="I415" s="84">
        <f t="shared" si="112"/>
        <v>2456.5</v>
      </c>
      <c r="J415" s="84"/>
      <c r="K415" s="84"/>
      <c r="L415" s="84">
        <f t="shared" si="113"/>
        <v>2456.5</v>
      </c>
      <c r="M415" s="84"/>
      <c r="N415" s="84"/>
      <c r="O415" s="84">
        <f t="shared" si="111"/>
        <v>2456.5</v>
      </c>
      <c r="P415" s="55"/>
      <c r="Q415" s="53">
        <f t="shared" si="114"/>
        <v>2456.5</v>
      </c>
    </row>
    <row r="416" spans="1:17" ht="12.75">
      <c r="A416" s="20" t="s">
        <v>338</v>
      </c>
      <c r="B416" s="101">
        <v>3400</v>
      </c>
      <c r="C416" s="84"/>
      <c r="D416" s="84"/>
      <c r="E416" s="84"/>
      <c r="F416" s="84"/>
      <c r="G416" s="84"/>
      <c r="H416" s="84"/>
      <c r="I416" s="84">
        <f t="shared" si="112"/>
        <v>0</v>
      </c>
      <c r="J416" s="84">
        <f>1264.7+1452.5</f>
        <v>2717.2</v>
      </c>
      <c r="K416" s="84"/>
      <c r="L416" s="84">
        <f t="shared" si="113"/>
        <v>2717.2</v>
      </c>
      <c r="M416" s="84"/>
      <c r="N416" s="84"/>
      <c r="O416" s="84">
        <f t="shared" si="111"/>
        <v>2717.2</v>
      </c>
      <c r="P416" s="55"/>
      <c r="Q416" s="53"/>
    </row>
    <row r="417" spans="1:17" ht="12.75">
      <c r="A417" s="11" t="s">
        <v>316</v>
      </c>
      <c r="B417" s="100">
        <v>4600</v>
      </c>
      <c r="C417" s="84"/>
      <c r="D417" s="84"/>
      <c r="E417" s="84"/>
      <c r="F417" s="84">
        <f t="shared" si="110"/>
        <v>0</v>
      </c>
      <c r="G417" s="84">
        <v>10065.4</v>
      </c>
      <c r="H417" s="84"/>
      <c r="I417" s="84">
        <f t="shared" si="112"/>
        <v>10065.4</v>
      </c>
      <c r="J417" s="84"/>
      <c r="K417" s="84"/>
      <c r="L417" s="84">
        <f t="shared" si="113"/>
        <v>10065.4</v>
      </c>
      <c r="M417" s="84"/>
      <c r="N417" s="84"/>
      <c r="O417" s="84">
        <f t="shared" si="111"/>
        <v>10065.4</v>
      </c>
      <c r="P417" s="55"/>
      <c r="Q417" s="53">
        <f t="shared" si="114"/>
        <v>10065.4</v>
      </c>
    </row>
    <row r="418" spans="1:17" ht="12.75">
      <c r="A418" s="11" t="s">
        <v>281</v>
      </c>
      <c r="B418" s="100">
        <v>4602</v>
      </c>
      <c r="C418" s="84"/>
      <c r="D418" s="84"/>
      <c r="E418" s="84">
        <v>12311.9</v>
      </c>
      <c r="F418" s="84">
        <f t="shared" si="110"/>
        <v>12311.9</v>
      </c>
      <c r="G418" s="84"/>
      <c r="H418" s="84"/>
      <c r="I418" s="84">
        <f t="shared" si="112"/>
        <v>12311.9</v>
      </c>
      <c r="J418" s="84"/>
      <c r="K418" s="84"/>
      <c r="L418" s="84">
        <f t="shared" si="113"/>
        <v>12311.9</v>
      </c>
      <c r="M418" s="84"/>
      <c r="N418" s="84"/>
      <c r="O418" s="84">
        <f t="shared" si="111"/>
        <v>12311.9</v>
      </c>
      <c r="P418" s="55"/>
      <c r="Q418" s="53">
        <f t="shared" si="114"/>
        <v>12311.9</v>
      </c>
    </row>
    <row r="419" spans="1:17" ht="12.75">
      <c r="A419" s="11" t="s">
        <v>335</v>
      </c>
      <c r="B419" s="100"/>
      <c r="C419" s="84"/>
      <c r="D419" s="84"/>
      <c r="E419" s="84"/>
      <c r="F419" s="84"/>
      <c r="G419" s="84"/>
      <c r="H419" s="84"/>
      <c r="I419" s="84">
        <f t="shared" si="112"/>
        <v>0</v>
      </c>
      <c r="J419" s="84">
        <f>1434.8+11187.6+33000</f>
        <v>45622.4</v>
      </c>
      <c r="K419" s="84"/>
      <c r="L419" s="84">
        <f t="shared" si="113"/>
        <v>45622.4</v>
      </c>
      <c r="M419" s="84"/>
      <c r="N419" s="84"/>
      <c r="O419" s="84">
        <f t="shared" si="111"/>
        <v>45622.4</v>
      </c>
      <c r="P419" s="55"/>
      <c r="Q419" s="53"/>
    </row>
    <row r="420" spans="1:17" ht="12.75">
      <c r="A420" s="20" t="s">
        <v>282</v>
      </c>
      <c r="B420" s="101">
        <v>5303</v>
      </c>
      <c r="C420" s="84"/>
      <c r="D420" s="84"/>
      <c r="E420" s="84">
        <v>4493.2</v>
      </c>
      <c r="F420" s="84">
        <f t="shared" si="110"/>
        <v>4493.2</v>
      </c>
      <c r="G420" s="84"/>
      <c r="H420" s="84"/>
      <c r="I420" s="84">
        <f t="shared" si="112"/>
        <v>4493.2</v>
      </c>
      <c r="J420" s="84"/>
      <c r="K420" s="84"/>
      <c r="L420" s="84">
        <f t="shared" si="113"/>
        <v>4493.2</v>
      </c>
      <c r="M420" s="84"/>
      <c r="N420" s="84"/>
      <c r="O420" s="84">
        <f t="shared" si="111"/>
        <v>4493.2</v>
      </c>
      <c r="P420" s="55"/>
      <c r="Q420" s="53">
        <f t="shared" si="114"/>
        <v>4493.2</v>
      </c>
    </row>
    <row r="421" spans="1:17" ht="12.75">
      <c r="A421" s="20" t="s">
        <v>336</v>
      </c>
      <c r="B421" s="101"/>
      <c r="C421" s="84"/>
      <c r="D421" s="84"/>
      <c r="E421" s="84"/>
      <c r="F421" s="84"/>
      <c r="G421" s="84"/>
      <c r="H421" s="84"/>
      <c r="I421" s="84">
        <f t="shared" si="112"/>
        <v>0</v>
      </c>
      <c r="J421" s="84">
        <f>389+4120.9+12000</f>
        <v>16509.9</v>
      </c>
      <c r="K421" s="84"/>
      <c r="L421" s="84">
        <f t="shared" si="113"/>
        <v>16509.9</v>
      </c>
      <c r="M421" s="84"/>
      <c r="N421" s="84"/>
      <c r="O421" s="84">
        <f t="shared" si="111"/>
        <v>16509.9</v>
      </c>
      <c r="P421" s="55"/>
      <c r="Q421" s="53"/>
    </row>
    <row r="422" spans="1:17" ht="12.75">
      <c r="A422" s="20" t="s">
        <v>317</v>
      </c>
      <c r="B422" s="101">
        <v>5302</v>
      </c>
      <c r="C422" s="84"/>
      <c r="D422" s="84"/>
      <c r="E422" s="84"/>
      <c r="F422" s="84">
        <f t="shared" si="110"/>
        <v>0</v>
      </c>
      <c r="G422" s="84">
        <v>2550.4</v>
      </c>
      <c r="H422" s="84"/>
      <c r="I422" s="84">
        <f t="shared" si="112"/>
        <v>2550.4</v>
      </c>
      <c r="J422" s="84"/>
      <c r="K422" s="84"/>
      <c r="L422" s="84">
        <f t="shared" si="113"/>
        <v>2550.4</v>
      </c>
      <c r="M422" s="84"/>
      <c r="N422" s="84"/>
      <c r="O422" s="84">
        <f t="shared" si="111"/>
        <v>2550.4</v>
      </c>
      <c r="P422" s="55"/>
      <c r="Q422" s="53">
        <f t="shared" si="114"/>
        <v>2550.4</v>
      </c>
    </row>
    <row r="423" spans="1:17" ht="12.75" hidden="1">
      <c r="A423" s="20" t="s">
        <v>207</v>
      </c>
      <c r="B423" s="115"/>
      <c r="C423" s="84"/>
      <c r="D423" s="84"/>
      <c r="E423" s="84"/>
      <c r="F423" s="84">
        <f t="shared" si="110"/>
        <v>0</v>
      </c>
      <c r="G423" s="84"/>
      <c r="H423" s="84"/>
      <c r="I423" s="84">
        <f t="shared" si="112"/>
        <v>0</v>
      </c>
      <c r="J423" s="84"/>
      <c r="K423" s="84"/>
      <c r="L423" s="84">
        <f t="shared" si="113"/>
        <v>0</v>
      </c>
      <c r="M423" s="84"/>
      <c r="N423" s="84"/>
      <c r="O423" s="84">
        <f t="shared" si="111"/>
        <v>0</v>
      </c>
      <c r="P423" s="55"/>
      <c r="Q423" s="53">
        <f t="shared" si="114"/>
        <v>0</v>
      </c>
    </row>
    <row r="424" spans="1:17" ht="12.75">
      <c r="A424" s="20" t="s">
        <v>309</v>
      </c>
      <c r="B424" s="116" t="s">
        <v>352</v>
      </c>
      <c r="C424" s="84"/>
      <c r="D424" s="84"/>
      <c r="E424" s="84"/>
      <c r="F424" s="84">
        <f t="shared" si="110"/>
        <v>0</v>
      </c>
      <c r="G424" s="84">
        <v>262</v>
      </c>
      <c r="H424" s="84"/>
      <c r="I424" s="84">
        <f t="shared" si="112"/>
        <v>262</v>
      </c>
      <c r="J424" s="84"/>
      <c r="K424" s="84"/>
      <c r="L424" s="84">
        <f t="shared" si="113"/>
        <v>262</v>
      </c>
      <c r="M424" s="84"/>
      <c r="N424" s="84"/>
      <c r="O424" s="84">
        <f t="shared" si="111"/>
        <v>262</v>
      </c>
      <c r="P424" s="55"/>
      <c r="Q424" s="53">
        <f t="shared" si="114"/>
        <v>262</v>
      </c>
    </row>
    <row r="425" spans="1:17" ht="12.75" hidden="1">
      <c r="A425" s="20" t="s">
        <v>202</v>
      </c>
      <c r="B425" s="115"/>
      <c r="C425" s="84"/>
      <c r="D425" s="84"/>
      <c r="E425" s="84"/>
      <c r="F425" s="84">
        <f t="shared" si="110"/>
        <v>0</v>
      </c>
      <c r="G425" s="84"/>
      <c r="H425" s="84"/>
      <c r="I425" s="84">
        <f t="shared" si="112"/>
        <v>0</v>
      </c>
      <c r="J425" s="84"/>
      <c r="K425" s="84"/>
      <c r="L425" s="84">
        <f t="shared" si="113"/>
        <v>0</v>
      </c>
      <c r="M425" s="84"/>
      <c r="N425" s="84"/>
      <c r="O425" s="84">
        <f t="shared" si="111"/>
        <v>0</v>
      </c>
      <c r="P425" s="55"/>
      <c r="Q425" s="53">
        <f t="shared" si="114"/>
        <v>0</v>
      </c>
    </row>
    <row r="426" spans="1:17" ht="12.75">
      <c r="A426" s="11" t="s">
        <v>138</v>
      </c>
      <c r="B426" s="96">
        <v>13307</v>
      </c>
      <c r="C426" s="84"/>
      <c r="D426" s="84"/>
      <c r="E426" s="84"/>
      <c r="F426" s="84">
        <f t="shared" si="110"/>
        <v>0</v>
      </c>
      <c r="G426" s="84">
        <f>3662.5+648.4</f>
        <v>4310.9</v>
      </c>
      <c r="H426" s="84"/>
      <c r="I426" s="84">
        <f t="shared" si="112"/>
        <v>4310.9</v>
      </c>
      <c r="J426" s="84"/>
      <c r="K426" s="84"/>
      <c r="L426" s="84">
        <f t="shared" si="113"/>
        <v>4310.9</v>
      </c>
      <c r="M426" s="84">
        <v>3500</v>
      </c>
      <c r="N426" s="84"/>
      <c r="O426" s="84">
        <f t="shared" si="111"/>
        <v>7810.9</v>
      </c>
      <c r="P426" s="55"/>
      <c r="Q426" s="53">
        <f t="shared" si="114"/>
        <v>7810.9</v>
      </c>
    </row>
    <row r="427" spans="1:17" ht="12.75">
      <c r="A427" s="11" t="s">
        <v>214</v>
      </c>
      <c r="B427" s="96">
        <v>14005</v>
      </c>
      <c r="C427" s="84"/>
      <c r="D427" s="84"/>
      <c r="E427" s="84"/>
      <c r="F427" s="84">
        <f t="shared" si="110"/>
        <v>0</v>
      </c>
      <c r="G427" s="84"/>
      <c r="H427" s="84"/>
      <c r="I427" s="84">
        <f t="shared" si="112"/>
        <v>0</v>
      </c>
      <c r="J427" s="84">
        <f>448+131</f>
        <v>579</v>
      </c>
      <c r="K427" s="84"/>
      <c r="L427" s="84">
        <f t="shared" si="113"/>
        <v>579</v>
      </c>
      <c r="M427" s="84"/>
      <c r="N427" s="84"/>
      <c r="O427" s="84">
        <f t="shared" si="111"/>
        <v>579</v>
      </c>
      <c r="P427" s="55"/>
      <c r="Q427" s="53">
        <f t="shared" si="114"/>
        <v>579</v>
      </c>
    </row>
    <row r="428" spans="1:17" ht="12.75">
      <c r="A428" s="21" t="s">
        <v>354</v>
      </c>
      <c r="B428" s="117" t="s">
        <v>351</v>
      </c>
      <c r="C428" s="88"/>
      <c r="D428" s="88"/>
      <c r="E428" s="88"/>
      <c r="F428" s="88">
        <f t="shared" si="110"/>
        <v>0</v>
      </c>
      <c r="G428" s="88"/>
      <c r="H428" s="88"/>
      <c r="I428" s="88">
        <f t="shared" si="112"/>
        <v>0</v>
      </c>
      <c r="J428" s="88">
        <v>92</v>
      </c>
      <c r="K428" s="88"/>
      <c r="L428" s="88">
        <f t="shared" si="113"/>
        <v>92</v>
      </c>
      <c r="M428" s="88"/>
      <c r="N428" s="88"/>
      <c r="O428" s="88">
        <f t="shared" si="111"/>
        <v>92</v>
      </c>
      <c r="P428" s="55"/>
      <c r="Q428" s="53">
        <f t="shared" si="114"/>
        <v>92</v>
      </c>
    </row>
    <row r="429" spans="1:17" ht="12.75" hidden="1">
      <c r="A429" s="11" t="s">
        <v>103</v>
      </c>
      <c r="B429" s="11"/>
      <c r="C429" s="84"/>
      <c r="D429" s="84"/>
      <c r="E429" s="84"/>
      <c r="F429" s="84">
        <f t="shared" si="110"/>
        <v>0</v>
      </c>
      <c r="G429" s="84"/>
      <c r="H429" s="84"/>
      <c r="I429" s="84">
        <f t="shared" si="112"/>
        <v>0</v>
      </c>
      <c r="J429" s="84">
        <f>11000+4000-11000-4000</f>
        <v>0</v>
      </c>
      <c r="K429" s="84"/>
      <c r="L429" s="84">
        <f t="shared" si="113"/>
        <v>0</v>
      </c>
      <c r="M429" s="84"/>
      <c r="N429" s="84"/>
      <c r="O429" s="84">
        <f t="shared" si="111"/>
        <v>0</v>
      </c>
      <c r="P429" s="55"/>
      <c r="Q429" s="53">
        <f t="shared" si="114"/>
        <v>0</v>
      </c>
    </row>
    <row r="430" spans="1:17" ht="12.75" hidden="1">
      <c r="A430" s="11" t="s">
        <v>89</v>
      </c>
      <c r="B430" s="11"/>
      <c r="C430" s="84"/>
      <c r="D430" s="84"/>
      <c r="E430" s="84"/>
      <c r="F430" s="84">
        <f t="shared" si="110"/>
        <v>0</v>
      </c>
      <c r="G430" s="84"/>
      <c r="H430" s="84"/>
      <c r="I430" s="84">
        <f t="shared" si="112"/>
        <v>0</v>
      </c>
      <c r="J430" s="84"/>
      <c r="K430" s="84"/>
      <c r="L430" s="84">
        <f t="shared" si="113"/>
        <v>0</v>
      </c>
      <c r="M430" s="84"/>
      <c r="N430" s="84"/>
      <c r="O430" s="84">
        <f t="shared" si="111"/>
        <v>0</v>
      </c>
      <c r="P430" s="55"/>
      <c r="Q430" s="53">
        <f t="shared" si="114"/>
        <v>0</v>
      </c>
    </row>
    <row r="431" spans="1:17" ht="12.75" hidden="1">
      <c r="A431" s="17" t="s">
        <v>75</v>
      </c>
      <c r="B431" s="17"/>
      <c r="C431" s="87">
        <f aca="true" t="shared" si="115" ref="C431:Q431">SUM(C433:C436)</f>
        <v>0</v>
      </c>
      <c r="D431" s="87">
        <f t="shared" si="115"/>
        <v>0</v>
      </c>
      <c r="E431" s="87"/>
      <c r="F431" s="87">
        <f t="shared" si="115"/>
        <v>0</v>
      </c>
      <c r="G431" s="87">
        <f t="shared" si="115"/>
        <v>0</v>
      </c>
      <c r="H431" s="87">
        <f t="shared" si="115"/>
        <v>0</v>
      </c>
      <c r="I431" s="87">
        <f t="shared" si="115"/>
        <v>0</v>
      </c>
      <c r="J431" s="87"/>
      <c r="K431" s="87"/>
      <c r="L431" s="87">
        <f t="shared" si="115"/>
        <v>0</v>
      </c>
      <c r="M431" s="87">
        <f t="shared" si="115"/>
        <v>0</v>
      </c>
      <c r="N431" s="87">
        <f t="shared" si="115"/>
        <v>0</v>
      </c>
      <c r="O431" s="87">
        <f t="shared" si="115"/>
        <v>0</v>
      </c>
      <c r="P431" s="60"/>
      <c r="Q431" s="39">
        <f t="shared" si="115"/>
        <v>0</v>
      </c>
    </row>
    <row r="432" spans="1:17" ht="12.75" hidden="1">
      <c r="A432" s="13" t="s">
        <v>38</v>
      </c>
      <c r="B432" s="13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55"/>
      <c r="Q432" s="53"/>
    </row>
    <row r="433" spans="1:17" ht="12.75" hidden="1">
      <c r="A433" s="11" t="s">
        <v>129</v>
      </c>
      <c r="B433" s="11"/>
      <c r="C433" s="84"/>
      <c r="D433" s="84"/>
      <c r="E433" s="84"/>
      <c r="F433" s="84">
        <f>C433+D433+E433</f>
        <v>0</v>
      </c>
      <c r="G433" s="84"/>
      <c r="H433" s="84"/>
      <c r="I433" s="84">
        <f>F433+G433+H433</f>
        <v>0</v>
      </c>
      <c r="J433" s="84"/>
      <c r="K433" s="84"/>
      <c r="L433" s="84">
        <f>I433+J433+K433</f>
        <v>0</v>
      </c>
      <c r="M433" s="84"/>
      <c r="N433" s="84"/>
      <c r="O433" s="84">
        <f>L433+M433+N433</f>
        <v>0</v>
      </c>
      <c r="P433" s="55"/>
      <c r="Q433" s="53">
        <f>O433+P433</f>
        <v>0</v>
      </c>
    </row>
    <row r="434" spans="1:17" ht="12.75" hidden="1">
      <c r="A434" s="11" t="s">
        <v>76</v>
      </c>
      <c r="B434" s="11"/>
      <c r="C434" s="84"/>
      <c r="D434" s="84"/>
      <c r="E434" s="84"/>
      <c r="F434" s="84">
        <f>C434+D434+E434</f>
        <v>0</v>
      </c>
      <c r="G434" s="84"/>
      <c r="H434" s="84"/>
      <c r="I434" s="84"/>
      <c r="J434" s="84"/>
      <c r="K434" s="84"/>
      <c r="L434" s="84">
        <f>I434+J434+K434</f>
        <v>0</v>
      </c>
      <c r="M434" s="84"/>
      <c r="N434" s="84"/>
      <c r="O434" s="84">
        <f>L434+M434+N434</f>
        <v>0</v>
      </c>
      <c r="P434" s="55"/>
      <c r="Q434" s="53">
        <f>O434+P434</f>
        <v>0</v>
      </c>
    </row>
    <row r="435" spans="1:17" ht="12.75" hidden="1">
      <c r="A435" s="11" t="s">
        <v>103</v>
      </c>
      <c r="B435" s="11"/>
      <c r="C435" s="84"/>
      <c r="D435" s="84"/>
      <c r="E435" s="84"/>
      <c r="F435" s="84">
        <f>C435+D435+E435</f>
        <v>0</v>
      </c>
      <c r="G435" s="84"/>
      <c r="H435" s="84"/>
      <c r="I435" s="84">
        <f>F435+G435+H435</f>
        <v>0</v>
      </c>
      <c r="J435" s="84"/>
      <c r="K435" s="84"/>
      <c r="L435" s="84">
        <f>I435+J435+K435</f>
        <v>0</v>
      </c>
      <c r="M435" s="84"/>
      <c r="N435" s="84"/>
      <c r="O435" s="84">
        <f>L435+M435+N435</f>
        <v>0</v>
      </c>
      <c r="P435" s="55"/>
      <c r="Q435" s="53">
        <f>O435+P435</f>
        <v>0</v>
      </c>
    </row>
    <row r="436" spans="1:17" ht="12.75" hidden="1">
      <c r="A436" s="14" t="s">
        <v>237</v>
      </c>
      <c r="B436" s="14"/>
      <c r="C436" s="88"/>
      <c r="D436" s="88"/>
      <c r="E436" s="88"/>
      <c r="F436" s="88">
        <f>C436+D436+E436</f>
        <v>0</v>
      </c>
      <c r="G436" s="88"/>
      <c r="H436" s="88"/>
      <c r="I436" s="88">
        <f>F436+G436+H436</f>
        <v>0</v>
      </c>
      <c r="J436" s="88"/>
      <c r="K436" s="88"/>
      <c r="L436" s="88">
        <f>I436+J436+K436</f>
        <v>0</v>
      </c>
      <c r="M436" s="88"/>
      <c r="N436" s="88"/>
      <c r="O436" s="88">
        <f>L436+M436+N436</f>
        <v>0</v>
      </c>
      <c r="P436" s="68"/>
      <c r="Q436" s="69">
        <f>O436+P436</f>
        <v>0</v>
      </c>
    </row>
    <row r="437" spans="1:17" ht="12.75">
      <c r="A437" s="12" t="s">
        <v>139</v>
      </c>
      <c r="B437" s="12"/>
      <c r="C437" s="83">
        <f aca="true" t="shared" si="116" ref="C437:O437">C438+C451</f>
        <v>19867</v>
      </c>
      <c r="D437" s="83">
        <f t="shared" si="116"/>
        <v>35633</v>
      </c>
      <c r="E437" s="83">
        <f t="shared" si="116"/>
        <v>143.1</v>
      </c>
      <c r="F437" s="83">
        <f t="shared" si="116"/>
        <v>55643.1</v>
      </c>
      <c r="G437" s="83">
        <f t="shared" si="116"/>
        <v>9003</v>
      </c>
      <c r="H437" s="83">
        <f t="shared" si="116"/>
        <v>0</v>
      </c>
      <c r="I437" s="83">
        <f t="shared" si="116"/>
        <v>64646.1</v>
      </c>
      <c r="J437" s="83">
        <f t="shared" si="116"/>
        <v>2255.2</v>
      </c>
      <c r="K437" s="83">
        <f t="shared" si="116"/>
        <v>1000</v>
      </c>
      <c r="L437" s="83">
        <f t="shared" si="116"/>
        <v>67901.29999999999</v>
      </c>
      <c r="M437" s="83">
        <f t="shared" si="116"/>
        <v>1732.1</v>
      </c>
      <c r="N437" s="83">
        <f t="shared" si="116"/>
        <v>0</v>
      </c>
      <c r="O437" s="83">
        <f t="shared" si="116"/>
        <v>69633.4</v>
      </c>
      <c r="P437" s="56"/>
      <c r="Q437" s="38">
        <f>Q438+Q451</f>
        <v>23333.4</v>
      </c>
    </row>
    <row r="438" spans="1:17" ht="12.75">
      <c r="A438" s="17" t="s">
        <v>69</v>
      </c>
      <c r="B438" s="17"/>
      <c r="C438" s="87">
        <f aca="true" t="shared" si="117" ref="C438:O438">SUM(C440:C450)-C449</f>
        <v>15336.6</v>
      </c>
      <c r="D438" s="87">
        <f t="shared" si="117"/>
        <v>40163.4</v>
      </c>
      <c r="E438" s="87">
        <f t="shared" si="117"/>
        <v>143.1</v>
      </c>
      <c r="F438" s="87">
        <f t="shared" si="117"/>
        <v>55643.1</v>
      </c>
      <c r="G438" s="87">
        <f t="shared" si="117"/>
        <v>7003</v>
      </c>
      <c r="H438" s="87">
        <f t="shared" si="117"/>
        <v>-300</v>
      </c>
      <c r="I438" s="87">
        <f t="shared" si="117"/>
        <v>62346.1</v>
      </c>
      <c r="J438" s="87">
        <f t="shared" si="117"/>
        <v>805.2</v>
      </c>
      <c r="K438" s="87">
        <f t="shared" si="117"/>
        <v>1000</v>
      </c>
      <c r="L438" s="87">
        <f t="shared" si="117"/>
        <v>64151.299999999996</v>
      </c>
      <c r="M438" s="87">
        <f t="shared" si="117"/>
        <v>1732.1</v>
      </c>
      <c r="N438" s="87">
        <f t="shared" si="117"/>
        <v>0</v>
      </c>
      <c r="O438" s="87">
        <f t="shared" si="117"/>
        <v>65883.4</v>
      </c>
      <c r="P438" s="60"/>
      <c r="Q438" s="39">
        <f>SUM(Q440:Q450)-Q449</f>
        <v>20883.4</v>
      </c>
    </row>
    <row r="439" spans="1:17" ht="12.75">
      <c r="A439" s="13" t="s">
        <v>38</v>
      </c>
      <c r="B439" s="13"/>
      <c r="C439" s="84"/>
      <c r="D439" s="84"/>
      <c r="E439" s="84"/>
      <c r="F439" s="83"/>
      <c r="G439" s="84"/>
      <c r="H439" s="84"/>
      <c r="I439" s="83"/>
      <c r="J439" s="84"/>
      <c r="K439" s="84"/>
      <c r="L439" s="83"/>
      <c r="M439" s="84"/>
      <c r="N439" s="84"/>
      <c r="O439" s="83"/>
      <c r="P439" s="55"/>
      <c r="Q439" s="53"/>
    </row>
    <row r="440" spans="1:17" ht="12.75" customHeight="1">
      <c r="A440" s="11" t="s">
        <v>72</v>
      </c>
      <c r="B440" s="11"/>
      <c r="C440" s="84">
        <v>10500</v>
      </c>
      <c r="D440" s="84"/>
      <c r="E440" s="84"/>
      <c r="F440" s="84">
        <f>C440+D440+E440</f>
        <v>10500</v>
      </c>
      <c r="G440" s="84">
        <f>1500+500</f>
        <v>2000</v>
      </c>
      <c r="H440" s="84">
        <v>-300</v>
      </c>
      <c r="I440" s="84">
        <f aca="true" t="shared" si="118" ref="I440:I450">F440+G440+H440</f>
        <v>12200</v>
      </c>
      <c r="J440" s="84">
        <f>1000-444.8-500+150</f>
        <v>205.20000000000005</v>
      </c>
      <c r="K440" s="84"/>
      <c r="L440" s="84">
        <f>I440+J440+K440</f>
        <v>12405.2</v>
      </c>
      <c r="M440" s="84">
        <f>-1140+2250+105.1</f>
        <v>1215.1</v>
      </c>
      <c r="N440" s="84"/>
      <c r="O440" s="84">
        <f>L440+M440+N440</f>
        <v>13620.300000000001</v>
      </c>
      <c r="P440" s="55"/>
      <c r="Q440" s="53">
        <f>O440+P440</f>
        <v>13620.300000000001</v>
      </c>
    </row>
    <row r="441" spans="1:17" ht="12.75" hidden="1">
      <c r="A441" s="11" t="s">
        <v>140</v>
      </c>
      <c r="B441" s="11"/>
      <c r="C441" s="84"/>
      <c r="D441" s="84"/>
      <c r="E441" s="84"/>
      <c r="F441" s="84">
        <f aca="true" t="shared" si="119" ref="F441:F450">C441+D441+E441</f>
        <v>0</v>
      </c>
      <c r="G441" s="84"/>
      <c r="H441" s="84"/>
      <c r="I441" s="84">
        <f t="shared" si="118"/>
        <v>0</v>
      </c>
      <c r="J441" s="84"/>
      <c r="K441" s="84"/>
      <c r="L441" s="84">
        <f>I441+J441+K441</f>
        <v>0</v>
      </c>
      <c r="M441" s="84"/>
      <c r="N441" s="84"/>
      <c r="O441" s="84">
        <f aca="true" t="shared" si="120" ref="O441:O450">L441+M441+N441</f>
        <v>0</v>
      </c>
      <c r="P441" s="55"/>
      <c r="Q441" s="53">
        <f>O441+P441</f>
        <v>0</v>
      </c>
    </row>
    <row r="442" spans="1:17" ht="12.75" hidden="1">
      <c r="A442" s="11" t="s">
        <v>141</v>
      </c>
      <c r="B442" s="11"/>
      <c r="C442" s="84"/>
      <c r="D442" s="84"/>
      <c r="E442" s="84"/>
      <c r="F442" s="84">
        <f t="shared" si="119"/>
        <v>0</v>
      </c>
      <c r="G442" s="84"/>
      <c r="H442" s="84"/>
      <c r="I442" s="84">
        <f t="shared" si="118"/>
        <v>0</v>
      </c>
      <c r="J442" s="84"/>
      <c r="K442" s="84"/>
      <c r="L442" s="84">
        <f>I442+J442+K442</f>
        <v>0</v>
      </c>
      <c r="M442" s="84"/>
      <c r="N442" s="84"/>
      <c r="O442" s="84">
        <f t="shared" si="120"/>
        <v>0</v>
      </c>
      <c r="P442" s="55"/>
      <c r="Q442" s="53">
        <f>O442+P442</f>
        <v>0</v>
      </c>
    </row>
    <row r="443" spans="1:17" ht="12.75">
      <c r="A443" s="15" t="s">
        <v>263</v>
      </c>
      <c r="B443" s="15"/>
      <c r="C443" s="84"/>
      <c r="D443" s="84">
        <v>45000</v>
      </c>
      <c r="E443" s="84"/>
      <c r="F443" s="84">
        <f>C443+D443+E443</f>
        <v>45000</v>
      </c>
      <c r="G443" s="84"/>
      <c r="H443" s="84"/>
      <c r="I443" s="84">
        <f t="shared" si="118"/>
        <v>45000</v>
      </c>
      <c r="J443" s="84"/>
      <c r="K443" s="84"/>
      <c r="L443" s="84">
        <f>I443+J443+K443</f>
        <v>45000</v>
      </c>
      <c r="M443" s="84"/>
      <c r="N443" s="84"/>
      <c r="O443" s="84">
        <f t="shared" si="120"/>
        <v>45000</v>
      </c>
      <c r="P443" s="55"/>
      <c r="Q443" s="53"/>
    </row>
    <row r="444" spans="1:17" ht="12.75">
      <c r="A444" s="15" t="s">
        <v>268</v>
      </c>
      <c r="B444" s="15"/>
      <c r="C444" s="84">
        <v>4836.6</v>
      </c>
      <c r="D444" s="84">
        <v>-4836.6</v>
      </c>
      <c r="E444" s="84"/>
      <c r="F444" s="84">
        <f t="shared" si="119"/>
        <v>0</v>
      </c>
      <c r="G444" s="84"/>
      <c r="H444" s="84"/>
      <c r="I444" s="84">
        <f t="shared" si="118"/>
        <v>0</v>
      </c>
      <c r="J444" s="84"/>
      <c r="K444" s="84"/>
      <c r="L444" s="84">
        <f>I444+J444+K444</f>
        <v>0</v>
      </c>
      <c r="M444" s="84"/>
      <c r="N444" s="84"/>
      <c r="O444" s="84">
        <f t="shared" si="120"/>
        <v>0</v>
      </c>
      <c r="P444" s="55"/>
      <c r="Q444" s="53"/>
    </row>
    <row r="445" spans="1:17" ht="12.75">
      <c r="A445" s="11" t="s">
        <v>103</v>
      </c>
      <c r="B445" s="11"/>
      <c r="C445" s="84"/>
      <c r="D445" s="84"/>
      <c r="E445" s="84">
        <f>137.2+5.9</f>
        <v>143.1</v>
      </c>
      <c r="F445" s="84">
        <f t="shared" si="119"/>
        <v>143.1</v>
      </c>
      <c r="G445" s="84"/>
      <c r="H445" s="84"/>
      <c r="I445" s="84">
        <f t="shared" si="118"/>
        <v>143.1</v>
      </c>
      <c r="J445" s="84"/>
      <c r="K445" s="84"/>
      <c r="L445" s="84">
        <f aca="true" t="shared" si="121" ref="L445:L450">I445+J445+K445</f>
        <v>143.1</v>
      </c>
      <c r="M445" s="84"/>
      <c r="N445" s="84"/>
      <c r="O445" s="84">
        <f t="shared" si="120"/>
        <v>143.1</v>
      </c>
      <c r="P445" s="55"/>
      <c r="Q445" s="53">
        <f aca="true" t="shared" si="122" ref="Q445:Q450">O445+P445</f>
        <v>143.1</v>
      </c>
    </row>
    <row r="446" spans="1:17" ht="12.75">
      <c r="A446" s="11" t="s">
        <v>87</v>
      </c>
      <c r="B446" s="11"/>
      <c r="C446" s="84"/>
      <c r="D446" s="84"/>
      <c r="E446" s="84"/>
      <c r="F446" s="84">
        <f t="shared" si="119"/>
        <v>0</v>
      </c>
      <c r="G446" s="84"/>
      <c r="H446" s="84"/>
      <c r="I446" s="84">
        <f t="shared" si="118"/>
        <v>0</v>
      </c>
      <c r="J446" s="91">
        <f>300+300</f>
        <v>600</v>
      </c>
      <c r="K446" s="84">
        <v>1000</v>
      </c>
      <c r="L446" s="84">
        <f t="shared" si="121"/>
        <v>1600</v>
      </c>
      <c r="M446" s="84"/>
      <c r="N446" s="84"/>
      <c r="O446" s="84">
        <f t="shared" si="120"/>
        <v>1600</v>
      </c>
      <c r="P446" s="55"/>
      <c r="Q446" s="53">
        <f t="shared" si="122"/>
        <v>1600</v>
      </c>
    </row>
    <row r="447" spans="1:17" ht="12.75" hidden="1">
      <c r="A447" s="11" t="s">
        <v>248</v>
      </c>
      <c r="B447" s="11"/>
      <c r="C447" s="84"/>
      <c r="D447" s="84"/>
      <c r="E447" s="84"/>
      <c r="F447" s="84">
        <f t="shared" si="119"/>
        <v>0</v>
      </c>
      <c r="G447" s="84"/>
      <c r="H447" s="84"/>
      <c r="I447" s="84">
        <f t="shared" si="118"/>
        <v>0</v>
      </c>
      <c r="J447" s="91"/>
      <c r="K447" s="84"/>
      <c r="L447" s="84">
        <f t="shared" si="121"/>
        <v>0</v>
      </c>
      <c r="M447" s="84"/>
      <c r="N447" s="84"/>
      <c r="O447" s="84">
        <f t="shared" si="120"/>
        <v>0</v>
      </c>
      <c r="P447" s="55"/>
      <c r="Q447" s="53">
        <f t="shared" si="122"/>
        <v>0</v>
      </c>
    </row>
    <row r="448" spans="1:17" ht="12.75">
      <c r="A448" s="14" t="s">
        <v>355</v>
      </c>
      <c r="B448" s="104">
        <v>14004</v>
      </c>
      <c r="C448" s="88"/>
      <c r="D448" s="88"/>
      <c r="E448" s="88"/>
      <c r="F448" s="88">
        <f t="shared" si="119"/>
        <v>0</v>
      </c>
      <c r="G448" s="88">
        <v>5003</v>
      </c>
      <c r="H448" s="88"/>
      <c r="I448" s="88">
        <f t="shared" si="118"/>
        <v>5003</v>
      </c>
      <c r="J448" s="88"/>
      <c r="K448" s="88"/>
      <c r="L448" s="88">
        <f t="shared" si="121"/>
        <v>5003</v>
      </c>
      <c r="M448" s="88">
        <v>517</v>
      </c>
      <c r="N448" s="88"/>
      <c r="O448" s="88">
        <f t="shared" si="120"/>
        <v>5520</v>
      </c>
      <c r="P448" s="55"/>
      <c r="Q448" s="53">
        <f t="shared" si="122"/>
        <v>5520</v>
      </c>
    </row>
    <row r="449" spans="1:17" ht="12.75" hidden="1">
      <c r="A449" s="11" t="s">
        <v>142</v>
      </c>
      <c r="B449" s="11"/>
      <c r="C449" s="84"/>
      <c r="D449" s="84"/>
      <c r="E449" s="84"/>
      <c r="F449" s="84">
        <f t="shared" si="119"/>
        <v>0</v>
      </c>
      <c r="G449" s="84"/>
      <c r="H449" s="84"/>
      <c r="I449" s="84">
        <f t="shared" si="118"/>
        <v>0</v>
      </c>
      <c r="J449" s="84"/>
      <c r="K449" s="84"/>
      <c r="L449" s="84">
        <f t="shared" si="121"/>
        <v>0</v>
      </c>
      <c r="M449" s="84"/>
      <c r="N449" s="84"/>
      <c r="O449" s="84">
        <f t="shared" si="120"/>
        <v>0</v>
      </c>
      <c r="P449" s="55"/>
      <c r="Q449" s="53">
        <f t="shared" si="122"/>
        <v>0</v>
      </c>
    </row>
    <row r="450" spans="1:17" ht="12.75" hidden="1">
      <c r="A450" s="11" t="s">
        <v>89</v>
      </c>
      <c r="B450" s="11"/>
      <c r="C450" s="84"/>
      <c r="D450" s="84"/>
      <c r="E450" s="84"/>
      <c r="F450" s="84">
        <f t="shared" si="119"/>
        <v>0</v>
      </c>
      <c r="G450" s="84"/>
      <c r="H450" s="84"/>
      <c r="I450" s="84">
        <f t="shared" si="118"/>
        <v>0</v>
      </c>
      <c r="J450" s="84"/>
      <c r="K450" s="84"/>
      <c r="L450" s="84">
        <f t="shared" si="121"/>
        <v>0</v>
      </c>
      <c r="M450" s="84"/>
      <c r="N450" s="84"/>
      <c r="O450" s="84">
        <f t="shared" si="120"/>
        <v>0</v>
      </c>
      <c r="P450" s="55"/>
      <c r="Q450" s="53">
        <f t="shared" si="122"/>
        <v>0</v>
      </c>
    </row>
    <row r="451" spans="1:17" ht="12.75">
      <c r="A451" s="17" t="s">
        <v>75</v>
      </c>
      <c r="B451" s="17"/>
      <c r="C451" s="87">
        <f aca="true" t="shared" si="123" ref="C451:O451">SUM(C453:C458)</f>
        <v>4530.4</v>
      </c>
      <c r="D451" s="87">
        <f t="shared" si="123"/>
        <v>-4530.4</v>
      </c>
      <c r="E451" s="87">
        <f t="shared" si="123"/>
        <v>0</v>
      </c>
      <c r="F451" s="87">
        <f t="shared" si="123"/>
        <v>0</v>
      </c>
      <c r="G451" s="87">
        <f t="shared" si="123"/>
        <v>2000</v>
      </c>
      <c r="H451" s="87">
        <f t="shared" si="123"/>
        <v>300</v>
      </c>
      <c r="I451" s="87">
        <f t="shared" si="123"/>
        <v>2300</v>
      </c>
      <c r="J451" s="87">
        <f t="shared" si="123"/>
        <v>1450</v>
      </c>
      <c r="K451" s="87">
        <f t="shared" si="123"/>
        <v>0</v>
      </c>
      <c r="L451" s="87">
        <f t="shared" si="123"/>
        <v>3750</v>
      </c>
      <c r="M451" s="87">
        <f t="shared" si="123"/>
        <v>0</v>
      </c>
      <c r="N451" s="87">
        <f t="shared" si="123"/>
        <v>0</v>
      </c>
      <c r="O451" s="87">
        <f t="shared" si="123"/>
        <v>3750</v>
      </c>
      <c r="P451" s="60"/>
      <c r="Q451" s="39">
        <f>SUM(Q453:Q458)</f>
        <v>2450</v>
      </c>
    </row>
    <row r="452" spans="1:17" ht="12.75">
      <c r="A452" s="13" t="s">
        <v>38</v>
      </c>
      <c r="B452" s="13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55"/>
      <c r="Q452" s="53"/>
    </row>
    <row r="453" spans="1:17" ht="12.75">
      <c r="A453" s="15" t="s">
        <v>322</v>
      </c>
      <c r="B453" s="15"/>
      <c r="C453" s="84"/>
      <c r="D453" s="84"/>
      <c r="E453" s="84"/>
      <c r="F453" s="84">
        <f>C453+D453+E453</f>
        <v>0</v>
      </c>
      <c r="G453" s="84">
        <v>500</v>
      </c>
      <c r="H453" s="84"/>
      <c r="I453" s="84">
        <f aca="true" t="shared" si="124" ref="I453:I458">F453+G453+H453</f>
        <v>500</v>
      </c>
      <c r="J453" s="84">
        <f>250+200</f>
        <v>450</v>
      </c>
      <c r="K453" s="84"/>
      <c r="L453" s="84">
        <f aca="true" t="shared" si="125" ref="L453:L458">I453+J453+K453</f>
        <v>950</v>
      </c>
      <c r="M453" s="84"/>
      <c r="N453" s="84"/>
      <c r="O453" s="84">
        <f aca="true" t="shared" si="126" ref="O453:O458">L453+M453+N453</f>
        <v>950</v>
      </c>
      <c r="P453" s="55"/>
      <c r="Q453" s="53">
        <f>O453+P453</f>
        <v>950</v>
      </c>
    </row>
    <row r="454" spans="1:17" ht="12.75">
      <c r="A454" s="15" t="s">
        <v>314</v>
      </c>
      <c r="B454" s="15"/>
      <c r="C454" s="84"/>
      <c r="D454" s="84"/>
      <c r="E454" s="84"/>
      <c r="F454" s="84"/>
      <c r="G454" s="84"/>
      <c r="H454" s="84"/>
      <c r="I454" s="84">
        <f t="shared" si="124"/>
        <v>0</v>
      </c>
      <c r="J454" s="84">
        <v>1000</v>
      </c>
      <c r="K454" s="84"/>
      <c r="L454" s="84">
        <f t="shared" si="125"/>
        <v>1000</v>
      </c>
      <c r="M454" s="84"/>
      <c r="N454" s="84"/>
      <c r="O454" s="84">
        <f t="shared" si="126"/>
        <v>1000</v>
      </c>
      <c r="P454" s="55"/>
      <c r="Q454" s="53"/>
    </row>
    <row r="455" spans="1:17" ht="12.75">
      <c r="A455" s="15" t="s">
        <v>323</v>
      </c>
      <c r="B455" s="15"/>
      <c r="C455" s="84"/>
      <c r="D455" s="84"/>
      <c r="E455" s="84"/>
      <c r="F455" s="84"/>
      <c r="G455" s="84"/>
      <c r="H455" s="84">
        <v>300</v>
      </c>
      <c r="I455" s="84">
        <f t="shared" si="124"/>
        <v>300</v>
      </c>
      <c r="J455" s="84"/>
      <c r="K455" s="84"/>
      <c r="L455" s="84">
        <f t="shared" si="125"/>
        <v>300</v>
      </c>
      <c r="M455" s="84"/>
      <c r="N455" s="84"/>
      <c r="O455" s="84">
        <f t="shared" si="126"/>
        <v>300</v>
      </c>
      <c r="P455" s="55"/>
      <c r="Q455" s="53"/>
    </row>
    <row r="456" spans="1:17" ht="12.75" hidden="1">
      <c r="A456" s="11" t="s">
        <v>76</v>
      </c>
      <c r="B456" s="11"/>
      <c r="C456" s="84"/>
      <c r="D456" s="84"/>
      <c r="E456" s="84"/>
      <c r="F456" s="84">
        <f>C456+D456+E456</f>
        <v>0</v>
      </c>
      <c r="G456" s="84"/>
      <c r="H456" s="84"/>
      <c r="I456" s="84">
        <f t="shared" si="124"/>
        <v>0</v>
      </c>
      <c r="J456" s="84"/>
      <c r="K456" s="84"/>
      <c r="L456" s="84">
        <f t="shared" si="125"/>
        <v>0</v>
      </c>
      <c r="M456" s="84"/>
      <c r="N456" s="84"/>
      <c r="O456" s="84">
        <f t="shared" si="126"/>
        <v>0</v>
      </c>
      <c r="P456" s="55"/>
      <c r="Q456" s="53">
        <f>O456+P456</f>
        <v>0</v>
      </c>
    </row>
    <row r="457" spans="1:17" ht="12.75">
      <c r="A457" s="11" t="s">
        <v>103</v>
      </c>
      <c r="B457" s="11"/>
      <c r="C457" s="84"/>
      <c r="D457" s="84"/>
      <c r="E457" s="84"/>
      <c r="F457" s="84">
        <f>C457+D457+E457</f>
        <v>0</v>
      </c>
      <c r="G457" s="84">
        <v>1500</v>
      </c>
      <c r="H457" s="84"/>
      <c r="I457" s="84">
        <f t="shared" si="124"/>
        <v>1500</v>
      </c>
      <c r="J457" s="84"/>
      <c r="K457" s="84"/>
      <c r="L457" s="84">
        <f t="shared" si="125"/>
        <v>1500</v>
      </c>
      <c r="M457" s="84"/>
      <c r="N457" s="84"/>
      <c r="O457" s="84">
        <f t="shared" si="126"/>
        <v>1500</v>
      </c>
      <c r="P457" s="55"/>
      <c r="Q457" s="53">
        <f>O457+P457</f>
        <v>1500</v>
      </c>
    </row>
    <row r="458" spans="1:17" ht="12.75">
      <c r="A458" s="21" t="s">
        <v>269</v>
      </c>
      <c r="B458" s="21"/>
      <c r="C458" s="88">
        <v>4530.4</v>
      </c>
      <c r="D458" s="88">
        <v>-4530.4</v>
      </c>
      <c r="E458" s="88"/>
      <c r="F458" s="88">
        <f>C458+D458+E458</f>
        <v>0</v>
      </c>
      <c r="G458" s="88"/>
      <c r="H458" s="88"/>
      <c r="I458" s="88">
        <f t="shared" si="124"/>
        <v>0</v>
      </c>
      <c r="J458" s="88"/>
      <c r="K458" s="88"/>
      <c r="L458" s="88">
        <f t="shared" si="125"/>
        <v>0</v>
      </c>
      <c r="M458" s="88"/>
      <c r="N458" s="88"/>
      <c r="O458" s="88">
        <f t="shared" si="126"/>
        <v>0</v>
      </c>
      <c r="P458" s="68"/>
      <c r="Q458" s="69">
        <f>O458+P458</f>
        <v>0</v>
      </c>
    </row>
    <row r="459" spans="1:17" ht="12.75">
      <c r="A459" s="8" t="s">
        <v>143</v>
      </c>
      <c r="B459" s="8"/>
      <c r="C459" s="83">
        <f aca="true" t="shared" si="127" ref="C459:O459">C460+C463</f>
        <v>2105.5</v>
      </c>
      <c r="D459" s="83">
        <f t="shared" si="127"/>
        <v>0</v>
      </c>
      <c r="E459" s="83">
        <f t="shared" si="127"/>
        <v>0</v>
      </c>
      <c r="F459" s="83">
        <f t="shared" si="127"/>
        <v>2105.5</v>
      </c>
      <c r="G459" s="83">
        <f t="shared" si="127"/>
        <v>0</v>
      </c>
      <c r="H459" s="83">
        <f t="shared" si="127"/>
        <v>0</v>
      </c>
      <c r="I459" s="83">
        <f t="shared" si="127"/>
        <v>2105.5</v>
      </c>
      <c r="J459" s="83">
        <f t="shared" si="127"/>
        <v>0</v>
      </c>
      <c r="K459" s="83">
        <f t="shared" si="127"/>
        <v>0</v>
      </c>
      <c r="L459" s="83">
        <f t="shared" si="127"/>
        <v>2105.5</v>
      </c>
      <c r="M459" s="83">
        <f t="shared" si="127"/>
        <v>346.1</v>
      </c>
      <c r="N459" s="83">
        <f t="shared" si="127"/>
        <v>0</v>
      </c>
      <c r="O459" s="83">
        <f t="shared" si="127"/>
        <v>2451.6</v>
      </c>
      <c r="P459" s="56"/>
      <c r="Q459" s="38">
        <f>Q460+Q463</f>
        <v>2451.6</v>
      </c>
    </row>
    <row r="460" spans="1:17" ht="12.75">
      <c r="A460" s="17" t="s">
        <v>69</v>
      </c>
      <c r="B460" s="17"/>
      <c r="C460" s="87">
        <f aca="true" t="shared" si="128" ref="C460:O460">SUM(C462:C462)</f>
        <v>2105.5</v>
      </c>
      <c r="D460" s="87">
        <f t="shared" si="128"/>
        <v>0</v>
      </c>
      <c r="E460" s="87">
        <f t="shared" si="128"/>
        <v>0</v>
      </c>
      <c r="F460" s="87">
        <f t="shared" si="128"/>
        <v>2105.5</v>
      </c>
      <c r="G460" s="87">
        <f t="shared" si="128"/>
        <v>0</v>
      </c>
      <c r="H460" s="87">
        <f t="shared" si="128"/>
        <v>0</v>
      </c>
      <c r="I460" s="87">
        <f t="shared" si="128"/>
        <v>2105.5</v>
      </c>
      <c r="J460" s="87">
        <f t="shared" si="128"/>
        <v>0</v>
      </c>
      <c r="K460" s="87">
        <f t="shared" si="128"/>
        <v>0</v>
      </c>
      <c r="L460" s="87">
        <f t="shared" si="128"/>
        <v>2105.5</v>
      </c>
      <c r="M460" s="87">
        <f t="shared" si="128"/>
        <v>346.1</v>
      </c>
      <c r="N460" s="87">
        <f t="shared" si="128"/>
        <v>0</v>
      </c>
      <c r="O460" s="87">
        <f t="shared" si="128"/>
        <v>2451.6</v>
      </c>
      <c r="P460" s="60"/>
      <c r="Q460" s="39">
        <f>SUM(Q462:Q462)</f>
        <v>2451.6</v>
      </c>
    </row>
    <row r="461" spans="1:17" ht="12.75">
      <c r="A461" s="13" t="s">
        <v>38</v>
      </c>
      <c r="B461" s="13"/>
      <c r="C461" s="84"/>
      <c r="D461" s="84"/>
      <c r="E461" s="84"/>
      <c r="F461" s="83"/>
      <c r="G461" s="84"/>
      <c r="H461" s="84"/>
      <c r="I461" s="83"/>
      <c r="J461" s="84"/>
      <c r="K461" s="84"/>
      <c r="L461" s="83"/>
      <c r="M461" s="84"/>
      <c r="N461" s="84"/>
      <c r="O461" s="83"/>
      <c r="P461" s="55"/>
      <c r="Q461" s="53"/>
    </row>
    <row r="462" spans="1:17" ht="12.75">
      <c r="A462" s="14" t="s">
        <v>72</v>
      </c>
      <c r="B462" s="14"/>
      <c r="C462" s="118">
        <v>2105.5</v>
      </c>
      <c r="D462" s="88"/>
      <c r="E462" s="88"/>
      <c r="F462" s="88">
        <f>C462+D462+E462</f>
        <v>2105.5</v>
      </c>
      <c r="G462" s="88"/>
      <c r="H462" s="88"/>
      <c r="I462" s="88">
        <f>F462+G462+H462</f>
        <v>2105.5</v>
      </c>
      <c r="J462" s="88"/>
      <c r="K462" s="88"/>
      <c r="L462" s="88">
        <f>I462+J462+K462</f>
        <v>2105.5</v>
      </c>
      <c r="M462" s="88">
        <v>346.1</v>
      </c>
      <c r="N462" s="88"/>
      <c r="O462" s="88">
        <f>L462+M462+N462</f>
        <v>2451.6</v>
      </c>
      <c r="P462" s="55"/>
      <c r="Q462" s="53">
        <f>O462+P462</f>
        <v>2451.6</v>
      </c>
    </row>
    <row r="463" spans="1:17" ht="12.75" hidden="1">
      <c r="A463" s="17" t="s">
        <v>75</v>
      </c>
      <c r="B463" s="17"/>
      <c r="C463" s="87">
        <f aca="true" t="shared" si="129" ref="C463:O463">SUM(C465:C465)</f>
        <v>0</v>
      </c>
      <c r="D463" s="87">
        <f t="shared" si="129"/>
        <v>0</v>
      </c>
      <c r="E463" s="87"/>
      <c r="F463" s="87">
        <f t="shared" si="129"/>
        <v>0</v>
      </c>
      <c r="G463" s="87">
        <f t="shared" si="129"/>
        <v>0</v>
      </c>
      <c r="H463" s="87">
        <f t="shared" si="129"/>
        <v>0</v>
      </c>
      <c r="I463" s="87">
        <f t="shared" si="129"/>
        <v>0</v>
      </c>
      <c r="J463" s="87"/>
      <c r="K463" s="87"/>
      <c r="L463" s="87">
        <f t="shared" si="129"/>
        <v>0</v>
      </c>
      <c r="M463" s="87">
        <f t="shared" si="129"/>
        <v>0</v>
      </c>
      <c r="N463" s="87">
        <f t="shared" si="129"/>
        <v>0</v>
      </c>
      <c r="O463" s="87">
        <f t="shared" si="129"/>
        <v>0</v>
      </c>
      <c r="P463" s="55"/>
      <c r="Q463" s="53">
        <f>O463+P463</f>
        <v>0</v>
      </c>
    </row>
    <row r="464" spans="1:17" ht="12.75" hidden="1">
      <c r="A464" s="13" t="s">
        <v>38</v>
      </c>
      <c r="B464" s="13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55"/>
      <c r="Q464" s="53"/>
    </row>
    <row r="465" spans="1:17" ht="12.75" hidden="1">
      <c r="A465" s="14" t="s">
        <v>76</v>
      </c>
      <c r="B465" s="14"/>
      <c r="C465" s="88"/>
      <c r="D465" s="88"/>
      <c r="E465" s="88"/>
      <c r="F465" s="88">
        <f>C465+D465+E465</f>
        <v>0</v>
      </c>
      <c r="G465" s="88"/>
      <c r="H465" s="88"/>
      <c r="I465" s="88">
        <f>F465+G465+H465</f>
        <v>0</v>
      </c>
      <c r="J465" s="88"/>
      <c r="K465" s="88"/>
      <c r="L465" s="88">
        <f>I465+J465+K465</f>
        <v>0</v>
      </c>
      <c r="M465" s="88"/>
      <c r="N465" s="88"/>
      <c r="O465" s="88">
        <f>L465+M465+N465</f>
        <v>0</v>
      </c>
      <c r="P465" s="68"/>
      <c r="Q465" s="69">
        <f>O465+P465</f>
        <v>0</v>
      </c>
    </row>
    <row r="466" spans="1:17" ht="12.75">
      <c r="A466" s="8" t="s">
        <v>144</v>
      </c>
      <c r="B466" s="8"/>
      <c r="C466" s="83">
        <f aca="true" t="shared" si="130" ref="C466:Q466">C467</f>
        <v>136449.1</v>
      </c>
      <c r="D466" s="83">
        <f t="shared" si="130"/>
        <v>-29000</v>
      </c>
      <c r="E466" s="83">
        <f t="shared" si="130"/>
        <v>-6673</v>
      </c>
      <c r="F466" s="83">
        <f t="shared" si="130"/>
        <v>100776.1</v>
      </c>
      <c r="G466" s="83">
        <f t="shared" si="130"/>
        <v>-12510.7</v>
      </c>
      <c r="H466" s="83">
        <f t="shared" si="130"/>
        <v>0</v>
      </c>
      <c r="I466" s="83">
        <f t="shared" si="130"/>
        <v>88265.40000000001</v>
      </c>
      <c r="J466" s="83">
        <f t="shared" si="130"/>
        <v>300</v>
      </c>
      <c r="K466" s="83">
        <f t="shared" si="130"/>
        <v>1261.6</v>
      </c>
      <c r="L466" s="83">
        <f t="shared" si="130"/>
        <v>89827</v>
      </c>
      <c r="M466" s="83">
        <f t="shared" si="130"/>
        <v>-7150</v>
      </c>
      <c r="N466" s="83">
        <f t="shared" si="130"/>
        <v>0</v>
      </c>
      <c r="O466" s="83">
        <f t="shared" si="130"/>
        <v>82677</v>
      </c>
      <c r="P466" s="56"/>
      <c r="Q466" s="38">
        <f t="shared" si="130"/>
        <v>82677</v>
      </c>
    </row>
    <row r="467" spans="1:17" ht="12.75">
      <c r="A467" s="17" t="s">
        <v>69</v>
      </c>
      <c r="B467" s="17"/>
      <c r="C467" s="87">
        <f aca="true" t="shared" si="131" ref="C467:O467">SUM(C469:C472)</f>
        <v>136449.1</v>
      </c>
      <c r="D467" s="87">
        <f t="shared" si="131"/>
        <v>-29000</v>
      </c>
      <c r="E467" s="87">
        <f t="shared" si="131"/>
        <v>-6673</v>
      </c>
      <c r="F467" s="87">
        <f t="shared" si="131"/>
        <v>100776.1</v>
      </c>
      <c r="G467" s="87">
        <f t="shared" si="131"/>
        <v>-12510.7</v>
      </c>
      <c r="H467" s="87">
        <f t="shared" si="131"/>
        <v>0</v>
      </c>
      <c r="I467" s="87">
        <f t="shared" si="131"/>
        <v>88265.40000000001</v>
      </c>
      <c r="J467" s="87">
        <f t="shared" si="131"/>
        <v>300</v>
      </c>
      <c r="K467" s="87">
        <f t="shared" si="131"/>
        <v>1261.6</v>
      </c>
      <c r="L467" s="87">
        <f t="shared" si="131"/>
        <v>89827</v>
      </c>
      <c r="M467" s="87">
        <f t="shared" si="131"/>
        <v>-7150</v>
      </c>
      <c r="N467" s="87">
        <f t="shared" si="131"/>
        <v>0</v>
      </c>
      <c r="O467" s="87">
        <f t="shared" si="131"/>
        <v>82677</v>
      </c>
      <c r="P467" s="60"/>
      <c r="Q467" s="39">
        <f>SUM(Q469:Q472)</f>
        <v>82677</v>
      </c>
    </row>
    <row r="468" spans="1:17" ht="12.75">
      <c r="A468" s="13" t="s">
        <v>38</v>
      </c>
      <c r="B468" s="1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55"/>
      <c r="Q468" s="53"/>
    </row>
    <row r="469" spans="1:17" ht="12.75">
      <c r="A469" s="20" t="s">
        <v>301</v>
      </c>
      <c r="B469" s="20"/>
      <c r="C469" s="84">
        <v>80000</v>
      </c>
      <c r="D469" s="84">
        <v>-29000</v>
      </c>
      <c r="E469" s="84">
        <v>-6673</v>
      </c>
      <c r="F469" s="84">
        <f>C469+D469+E469</f>
        <v>44327</v>
      </c>
      <c r="G469" s="84">
        <f>-20000-21997.6-2000</f>
        <v>-43997.6</v>
      </c>
      <c r="H469" s="84"/>
      <c r="I469" s="84">
        <f>F469+G469+H469</f>
        <v>329.40000000000146</v>
      </c>
      <c r="J469" s="91"/>
      <c r="K469" s="84"/>
      <c r="L469" s="84">
        <f>I469+J469+K469</f>
        <v>329.40000000000146</v>
      </c>
      <c r="M469" s="84"/>
      <c r="N469" s="84"/>
      <c r="O469" s="84">
        <f>L469+M469+N469</f>
        <v>329.40000000000146</v>
      </c>
      <c r="P469" s="55"/>
      <c r="Q469" s="53">
        <f>O469+P469</f>
        <v>329.40000000000146</v>
      </c>
    </row>
    <row r="470" spans="1:17" ht="12.75">
      <c r="A470" s="20" t="s">
        <v>145</v>
      </c>
      <c r="B470" s="20"/>
      <c r="C470" s="84"/>
      <c r="D470" s="84"/>
      <c r="E470" s="84"/>
      <c r="F470" s="84">
        <f>C470+D470+E470</f>
        <v>0</v>
      </c>
      <c r="G470" s="84">
        <v>21481.1</v>
      </c>
      <c r="H470" s="84"/>
      <c r="I470" s="84">
        <f>F470+G470+H470</f>
        <v>21481.1</v>
      </c>
      <c r="J470" s="84"/>
      <c r="K470" s="84"/>
      <c r="L470" s="84">
        <f>I470+J470+K470</f>
        <v>21481.1</v>
      </c>
      <c r="M470" s="84"/>
      <c r="N470" s="84"/>
      <c r="O470" s="84">
        <f>L470+M470+N470</f>
        <v>21481.1</v>
      </c>
      <c r="P470" s="55"/>
      <c r="Q470" s="53">
        <f>O470+P470</f>
        <v>21481.1</v>
      </c>
    </row>
    <row r="471" spans="1:17" ht="12.75">
      <c r="A471" s="20" t="s">
        <v>146</v>
      </c>
      <c r="B471" s="20"/>
      <c r="C471" s="84"/>
      <c r="D471" s="84"/>
      <c r="E471" s="84"/>
      <c r="F471" s="84">
        <f>C471+D471+E471</f>
        <v>0</v>
      </c>
      <c r="G471" s="84">
        <v>5.8</v>
      </c>
      <c r="H471" s="84"/>
      <c r="I471" s="84">
        <f>F471+G471+H471</f>
        <v>5.8</v>
      </c>
      <c r="J471" s="84"/>
      <c r="K471" s="84">
        <v>1261.6</v>
      </c>
      <c r="L471" s="84">
        <f>I471+J471+K471</f>
        <v>1267.3999999999999</v>
      </c>
      <c r="M471" s="84"/>
      <c r="N471" s="84"/>
      <c r="O471" s="84">
        <f>L471+M471+N471</f>
        <v>1267.3999999999999</v>
      </c>
      <c r="P471" s="55"/>
      <c r="Q471" s="53">
        <f>O471+P471</f>
        <v>1267.3999999999999</v>
      </c>
    </row>
    <row r="472" spans="1:17" ht="12.75">
      <c r="A472" s="14" t="s">
        <v>72</v>
      </c>
      <c r="B472" s="14"/>
      <c r="C472" s="88">
        <v>56449.1</v>
      </c>
      <c r="D472" s="88"/>
      <c r="E472" s="88"/>
      <c r="F472" s="88">
        <f>C472+D472+E472</f>
        <v>56449.1</v>
      </c>
      <c r="G472" s="88">
        <v>10000</v>
      </c>
      <c r="H472" s="88"/>
      <c r="I472" s="88">
        <f>F472+G472+H472</f>
        <v>66449.1</v>
      </c>
      <c r="J472" s="88">
        <v>300</v>
      </c>
      <c r="K472" s="88"/>
      <c r="L472" s="88">
        <f>I472+J472+K472</f>
        <v>66749.1</v>
      </c>
      <c r="M472" s="88">
        <f>-130-5500-1000-120-200-200</f>
        <v>-7150</v>
      </c>
      <c r="N472" s="88"/>
      <c r="O472" s="88">
        <f>L472+M472+N472</f>
        <v>59599.100000000006</v>
      </c>
      <c r="P472" s="68"/>
      <c r="Q472" s="69">
        <f>O472+P472</f>
        <v>59599.100000000006</v>
      </c>
    </row>
    <row r="473" spans="1:17" ht="12.75">
      <c r="A473" s="8" t="s">
        <v>262</v>
      </c>
      <c r="B473" s="8"/>
      <c r="C473" s="83">
        <f aca="true" t="shared" si="132" ref="C473:O473">C474+C483</f>
        <v>44644.399999999994</v>
      </c>
      <c r="D473" s="83">
        <f t="shared" si="132"/>
        <v>-3000</v>
      </c>
      <c r="E473" s="83">
        <f t="shared" si="132"/>
        <v>0</v>
      </c>
      <c r="F473" s="83">
        <f t="shared" si="132"/>
        <v>41644.399999999994</v>
      </c>
      <c r="G473" s="83">
        <f t="shared" si="132"/>
        <v>12500</v>
      </c>
      <c r="H473" s="83">
        <f t="shared" si="132"/>
        <v>1250</v>
      </c>
      <c r="I473" s="83">
        <f t="shared" si="132"/>
        <v>55394.4</v>
      </c>
      <c r="J473" s="83">
        <f t="shared" si="132"/>
        <v>244.79999999999995</v>
      </c>
      <c r="K473" s="83">
        <f t="shared" si="132"/>
        <v>0</v>
      </c>
      <c r="L473" s="83">
        <f t="shared" si="132"/>
        <v>55639.2</v>
      </c>
      <c r="M473" s="83">
        <f t="shared" si="132"/>
        <v>-890</v>
      </c>
      <c r="N473" s="83">
        <f t="shared" si="132"/>
        <v>2250</v>
      </c>
      <c r="O473" s="83">
        <f t="shared" si="132"/>
        <v>56999.2</v>
      </c>
      <c r="P473" s="55"/>
      <c r="Q473" s="53"/>
    </row>
    <row r="474" spans="1:17" ht="12.75">
      <c r="A474" s="17" t="s">
        <v>69</v>
      </c>
      <c r="B474" s="17"/>
      <c r="C474" s="87">
        <f>SUM(C475:C482)</f>
        <v>37644.399999999994</v>
      </c>
      <c r="D474" s="87">
        <f aca="true" t="shared" si="133" ref="D474:O474">SUM(D475:D482)</f>
        <v>-3000</v>
      </c>
      <c r="E474" s="87">
        <f t="shared" si="133"/>
        <v>0</v>
      </c>
      <c r="F474" s="87">
        <f t="shared" si="133"/>
        <v>34644.399999999994</v>
      </c>
      <c r="G474" s="87">
        <f t="shared" si="133"/>
        <v>8000</v>
      </c>
      <c r="H474" s="87">
        <f t="shared" si="133"/>
        <v>3250</v>
      </c>
      <c r="I474" s="87">
        <f t="shared" si="133"/>
        <v>45894.4</v>
      </c>
      <c r="J474" s="87">
        <f t="shared" si="133"/>
        <v>-1045.8</v>
      </c>
      <c r="K474" s="87">
        <f t="shared" si="133"/>
        <v>-2140.4</v>
      </c>
      <c r="L474" s="87">
        <f t="shared" si="133"/>
        <v>42708.2</v>
      </c>
      <c r="M474" s="87">
        <f t="shared" si="133"/>
        <v>-1156.6</v>
      </c>
      <c r="N474" s="87">
        <f t="shared" si="133"/>
        <v>2250</v>
      </c>
      <c r="O474" s="87">
        <f t="shared" si="133"/>
        <v>43801.6</v>
      </c>
      <c r="P474" s="55"/>
      <c r="Q474" s="53"/>
    </row>
    <row r="475" spans="1:17" ht="12.75">
      <c r="A475" s="11" t="s">
        <v>324</v>
      </c>
      <c r="B475" s="11"/>
      <c r="C475" s="84">
        <v>5248.6</v>
      </c>
      <c r="D475" s="84"/>
      <c r="E475" s="84"/>
      <c r="F475" s="84">
        <f aca="true" t="shared" si="134" ref="F475:F481">C475+D475+E475</f>
        <v>5248.6</v>
      </c>
      <c r="G475" s="84"/>
      <c r="H475" s="84"/>
      <c r="I475" s="84">
        <f aca="true" t="shared" si="135" ref="I475:I481">F475+G475+H475</f>
        <v>5248.6</v>
      </c>
      <c r="J475" s="84">
        <v>-1853.6</v>
      </c>
      <c r="K475" s="84"/>
      <c r="L475" s="84">
        <f>I475+J475+K475</f>
        <v>3395.0000000000005</v>
      </c>
      <c r="M475" s="84"/>
      <c r="N475" s="84"/>
      <c r="O475" s="84">
        <f>L475+M475+N475</f>
        <v>3395.0000000000005</v>
      </c>
      <c r="P475" s="55"/>
      <c r="Q475" s="53"/>
    </row>
    <row r="476" spans="1:17" ht="12.75">
      <c r="A476" s="11" t="s">
        <v>325</v>
      </c>
      <c r="B476" s="11"/>
      <c r="C476" s="84">
        <v>4496.2</v>
      </c>
      <c r="D476" s="84"/>
      <c r="E476" s="84"/>
      <c r="F476" s="84">
        <f t="shared" si="134"/>
        <v>4496.2</v>
      </c>
      <c r="G476" s="84">
        <v>2500</v>
      </c>
      <c r="H476" s="84">
        <v>1250</v>
      </c>
      <c r="I476" s="84">
        <f t="shared" si="135"/>
        <v>8246.2</v>
      </c>
      <c r="J476" s="84">
        <v>400</v>
      </c>
      <c r="K476" s="84"/>
      <c r="L476" s="84">
        <f aca="true" t="shared" si="136" ref="L476:L482">I476+J476+K476</f>
        <v>8646.2</v>
      </c>
      <c r="M476" s="84"/>
      <c r="N476" s="84"/>
      <c r="O476" s="84">
        <f aca="true" t="shared" si="137" ref="O476:O486">L476+M476+N476</f>
        <v>8646.2</v>
      </c>
      <c r="P476" s="55"/>
      <c r="Q476" s="53"/>
    </row>
    <row r="477" spans="1:17" ht="12.75">
      <c r="A477" s="11" t="s">
        <v>326</v>
      </c>
      <c r="B477" s="11"/>
      <c r="C477" s="84">
        <v>2604</v>
      </c>
      <c r="D477" s="91"/>
      <c r="E477" s="84"/>
      <c r="F477" s="84">
        <f t="shared" si="134"/>
        <v>2604</v>
      </c>
      <c r="G477" s="84"/>
      <c r="H477" s="84"/>
      <c r="I477" s="84">
        <f t="shared" si="135"/>
        <v>2604</v>
      </c>
      <c r="J477" s="84">
        <v>-600</v>
      </c>
      <c r="K477" s="84"/>
      <c r="L477" s="84">
        <f t="shared" si="136"/>
        <v>2004</v>
      </c>
      <c r="M477" s="84"/>
      <c r="N477" s="84"/>
      <c r="O477" s="84">
        <f t="shared" si="137"/>
        <v>2004</v>
      </c>
      <c r="P477" s="55"/>
      <c r="Q477" s="53"/>
    </row>
    <row r="478" spans="1:17" ht="12.75">
      <c r="A478" s="11" t="s">
        <v>327</v>
      </c>
      <c r="B478" s="11"/>
      <c r="C478" s="84">
        <v>1395.9</v>
      </c>
      <c r="D478" s="84"/>
      <c r="E478" s="84"/>
      <c r="F478" s="84">
        <f t="shared" si="134"/>
        <v>1395.9</v>
      </c>
      <c r="G478" s="84"/>
      <c r="H478" s="84"/>
      <c r="I478" s="84">
        <f t="shared" si="135"/>
        <v>1395.9</v>
      </c>
      <c r="J478" s="84"/>
      <c r="K478" s="84"/>
      <c r="L478" s="84">
        <f t="shared" si="136"/>
        <v>1395.9</v>
      </c>
      <c r="M478" s="84"/>
      <c r="N478" s="84"/>
      <c r="O478" s="84">
        <f t="shared" si="137"/>
        <v>1395.9</v>
      </c>
      <c r="P478" s="55"/>
      <c r="Q478" s="53"/>
    </row>
    <row r="479" spans="1:17" ht="12.75">
      <c r="A479" s="11" t="s">
        <v>328</v>
      </c>
      <c r="B479" s="11"/>
      <c r="C479" s="84">
        <v>9380</v>
      </c>
      <c r="D479" s="84"/>
      <c r="E479" s="84"/>
      <c r="F479" s="84">
        <f t="shared" si="134"/>
        <v>9380</v>
      </c>
      <c r="G479" s="84"/>
      <c r="H479" s="84"/>
      <c r="I479" s="84">
        <f t="shared" si="135"/>
        <v>9380</v>
      </c>
      <c r="J479" s="84"/>
      <c r="K479" s="84"/>
      <c r="L479" s="84">
        <f t="shared" si="136"/>
        <v>9380</v>
      </c>
      <c r="M479" s="84"/>
      <c r="N479" s="84"/>
      <c r="O479" s="84">
        <f t="shared" si="137"/>
        <v>9380</v>
      </c>
      <c r="P479" s="55"/>
      <c r="Q479" s="53"/>
    </row>
    <row r="480" spans="1:17" ht="12.75">
      <c r="A480" s="11" t="s">
        <v>329</v>
      </c>
      <c r="B480" s="11"/>
      <c r="C480" s="84">
        <v>6519.7</v>
      </c>
      <c r="D480" s="84">
        <v>-3000</v>
      </c>
      <c r="E480" s="84"/>
      <c r="F480" s="84">
        <f t="shared" si="134"/>
        <v>3519.7</v>
      </c>
      <c r="G480" s="84"/>
      <c r="H480" s="84"/>
      <c r="I480" s="84">
        <f t="shared" si="135"/>
        <v>3519.7</v>
      </c>
      <c r="J480" s="84">
        <v>444.8</v>
      </c>
      <c r="K480" s="84">
        <v>-2140.4</v>
      </c>
      <c r="L480" s="84">
        <f t="shared" si="136"/>
        <v>1824.1</v>
      </c>
      <c r="M480" s="84"/>
      <c r="N480" s="84"/>
      <c r="O480" s="84">
        <f t="shared" si="137"/>
        <v>1824.1</v>
      </c>
      <c r="P480" s="55"/>
      <c r="Q480" s="53"/>
    </row>
    <row r="481" spans="1:17" ht="12.75">
      <c r="A481" s="11" t="s">
        <v>330</v>
      </c>
      <c r="B481" s="11"/>
      <c r="C481" s="84">
        <v>8000</v>
      </c>
      <c r="D481" s="84"/>
      <c r="E481" s="84"/>
      <c r="F481" s="84">
        <f t="shared" si="134"/>
        <v>8000</v>
      </c>
      <c r="G481" s="84">
        <v>5500</v>
      </c>
      <c r="H481" s="84">
        <v>2000</v>
      </c>
      <c r="I481" s="84">
        <f t="shared" si="135"/>
        <v>15500</v>
      </c>
      <c r="J481" s="84">
        <f>600-37</f>
        <v>563</v>
      </c>
      <c r="K481" s="84"/>
      <c r="L481" s="84">
        <f t="shared" si="136"/>
        <v>16063</v>
      </c>
      <c r="M481" s="84">
        <f>1073.4-2250</f>
        <v>-1176.6</v>
      </c>
      <c r="N481" s="84">
        <v>2250</v>
      </c>
      <c r="O481" s="84">
        <f t="shared" si="137"/>
        <v>17136.4</v>
      </c>
      <c r="P481" s="55"/>
      <c r="Q481" s="53"/>
    </row>
    <row r="482" spans="1:17" ht="12.75">
      <c r="A482" s="11" t="s">
        <v>72</v>
      </c>
      <c r="B482" s="11"/>
      <c r="C482" s="84"/>
      <c r="D482" s="84"/>
      <c r="E482" s="84"/>
      <c r="F482" s="84"/>
      <c r="G482" s="84"/>
      <c r="H482" s="84"/>
      <c r="I482" s="84"/>
      <c r="J482" s="84"/>
      <c r="K482" s="84"/>
      <c r="L482" s="84">
        <f t="shared" si="136"/>
        <v>0</v>
      </c>
      <c r="M482" s="84">
        <v>20</v>
      </c>
      <c r="N482" s="84"/>
      <c r="O482" s="84">
        <f t="shared" si="137"/>
        <v>20</v>
      </c>
      <c r="P482" s="55"/>
      <c r="Q482" s="53"/>
    </row>
    <row r="483" spans="1:17" ht="12.75">
      <c r="A483" s="17" t="s">
        <v>75</v>
      </c>
      <c r="B483" s="17"/>
      <c r="C483" s="87">
        <f>SUM(C484:C486)</f>
        <v>7000</v>
      </c>
      <c r="D483" s="87">
        <f aca="true" t="shared" si="138" ref="D483:O483">SUM(D484:D486)</f>
        <v>0</v>
      </c>
      <c r="E483" s="87">
        <f t="shared" si="138"/>
        <v>0</v>
      </c>
      <c r="F483" s="87">
        <f t="shared" si="138"/>
        <v>7000</v>
      </c>
      <c r="G483" s="87">
        <f t="shared" si="138"/>
        <v>4500</v>
      </c>
      <c r="H483" s="87">
        <f t="shared" si="138"/>
        <v>-2000</v>
      </c>
      <c r="I483" s="87">
        <f t="shared" si="138"/>
        <v>9500</v>
      </c>
      <c r="J483" s="87">
        <f t="shared" si="138"/>
        <v>1290.6</v>
      </c>
      <c r="K483" s="87">
        <f t="shared" si="138"/>
        <v>2140.4</v>
      </c>
      <c r="L483" s="87">
        <f t="shared" si="138"/>
        <v>12931</v>
      </c>
      <c r="M483" s="87">
        <f t="shared" si="138"/>
        <v>266.5999999999999</v>
      </c>
      <c r="N483" s="87">
        <f t="shared" si="138"/>
        <v>0</v>
      </c>
      <c r="O483" s="87">
        <f t="shared" si="138"/>
        <v>13197.6</v>
      </c>
      <c r="P483" s="55"/>
      <c r="Q483" s="53"/>
    </row>
    <row r="484" spans="1:17" ht="12.75">
      <c r="A484" s="11" t="s">
        <v>324</v>
      </c>
      <c r="B484" s="13"/>
      <c r="C484" s="84"/>
      <c r="D484" s="84"/>
      <c r="E484" s="84"/>
      <c r="F484" s="84"/>
      <c r="G484" s="84"/>
      <c r="H484" s="84"/>
      <c r="I484" s="84">
        <f>F484+G484+H484</f>
        <v>0</v>
      </c>
      <c r="J484" s="84">
        <v>1853.6</v>
      </c>
      <c r="K484" s="84"/>
      <c r="L484" s="84">
        <f>I484+J484+K484</f>
        <v>1853.6</v>
      </c>
      <c r="M484" s="84"/>
      <c r="N484" s="84"/>
      <c r="O484" s="84">
        <f t="shared" si="137"/>
        <v>1853.6</v>
      </c>
      <c r="P484" s="55"/>
      <c r="Q484" s="53"/>
    </row>
    <row r="485" spans="1:17" ht="12.75">
      <c r="A485" s="11" t="s">
        <v>329</v>
      </c>
      <c r="B485" s="13"/>
      <c r="C485" s="84"/>
      <c r="D485" s="84"/>
      <c r="E485" s="84"/>
      <c r="F485" s="84"/>
      <c r="G485" s="84"/>
      <c r="H485" s="84"/>
      <c r="I485" s="84"/>
      <c r="J485" s="84"/>
      <c r="K485" s="84">
        <v>2140.4</v>
      </c>
      <c r="L485" s="84">
        <f>I485+J485+K485</f>
        <v>2140.4</v>
      </c>
      <c r="M485" s="84"/>
      <c r="N485" s="84"/>
      <c r="O485" s="84">
        <f t="shared" si="137"/>
        <v>2140.4</v>
      </c>
      <c r="P485" s="55"/>
      <c r="Q485" s="53"/>
    </row>
    <row r="486" spans="1:17" ht="12.75">
      <c r="A486" s="14" t="s">
        <v>330</v>
      </c>
      <c r="B486" s="14"/>
      <c r="C486" s="92">
        <v>7000</v>
      </c>
      <c r="D486" s="88"/>
      <c r="E486" s="88"/>
      <c r="F486" s="88">
        <f>C486+D486+E486</f>
        <v>7000</v>
      </c>
      <c r="G486" s="88">
        <v>4500</v>
      </c>
      <c r="H486" s="92">
        <v>-2000</v>
      </c>
      <c r="I486" s="88">
        <f>F486+G486+H486</f>
        <v>9500</v>
      </c>
      <c r="J486" s="88">
        <f>-600+37</f>
        <v>-563</v>
      </c>
      <c r="K486" s="88"/>
      <c r="L486" s="88">
        <f>I486+J486+K486</f>
        <v>8937</v>
      </c>
      <c r="M486" s="88">
        <f>-1073.4+1140+200</f>
        <v>266.5999999999999</v>
      </c>
      <c r="N486" s="88"/>
      <c r="O486" s="88">
        <f t="shared" si="137"/>
        <v>9203.6</v>
      </c>
      <c r="P486" s="55"/>
      <c r="Q486" s="53"/>
    </row>
    <row r="487" spans="1:17" ht="12.75">
      <c r="A487" s="8" t="s">
        <v>198</v>
      </c>
      <c r="B487" s="8"/>
      <c r="C487" s="83">
        <f aca="true" t="shared" si="139" ref="C487:Q487">C488</f>
        <v>3000</v>
      </c>
      <c r="D487" s="83">
        <f t="shared" si="139"/>
        <v>0</v>
      </c>
      <c r="E487" s="83">
        <f t="shared" si="139"/>
        <v>2006.7</v>
      </c>
      <c r="F487" s="83">
        <f t="shared" si="139"/>
        <v>5006.7</v>
      </c>
      <c r="G487" s="83">
        <f t="shared" si="139"/>
        <v>0</v>
      </c>
      <c r="H487" s="83">
        <f t="shared" si="139"/>
        <v>0</v>
      </c>
      <c r="I487" s="83">
        <f t="shared" si="139"/>
        <v>5006.7</v>
      </c>
      <c r="J487" s="83">
        <f t="shared" si="139"/>
        <v>0</v>
      </c>
      <c r="K487" s="83">
        <f t="shared" si="139"/>
        <v>0</v>
      </c>
      <c r="L487" s="83">
        <f t="shared" si="139"/>
        <v>5006.7</v>
      </c>
      <c r="M487" s="83">
        <f t="shared" si="139"/>
        <v>0</v>
      </c>
      <c r="N487" s="83">
        <f t="shared" si="139"/>
        <v>0</v>
      </c>
      <c r="O487" s="83">
        <f t="shared" si="139"/>
        <v>5006.7</v>
      </c>
      <c r="P487" s="56"/>
      <c r="Q487" s="38">
        <f t="shared" si="139"/>
        <v>5006.7</v>
      </c>
    </row>
    <row r="488" spans="1:17" ht="12.75">
      <c r="A488" s="17" t="s">
        <v>69</v>
      </c>
      <c r="B488" s="17"/>
      <c r="C488" s="87">
        <f aca="true" t="shared" si="140" ref="C488:O488">C490</f>
        <v>3000</v>
      </c>
      <c r="D488" s="87">
        <f t="shared" si="140"/>
        <v>0</v>
      </c>
      <c r="E488" s="87">
        <f t="shared" si="140"/>
        <v>2006.7</v>
      </c>
      <c r="F488" s="87">
        <f t="shared" si="140"/>
        <v>5006.7</v>
      </c>
      <c r="G488" s="87">
        <f t="shared" si="140"/>
        <v>0</v>
      </c>
      <c r="H488" s="87">
        <f t="shared" si="140"/>
        <v>0</v>
      </c>
      <c r="I488" s="87">
        <f t="shared" si="140"/>
        <v>5006.7</v>
      </c>
      <c r="J488" s="87">
        <f t="shared" si="140"/>
        <v>0</v>
      </c>
      <c r="K488" s="87">
        <f t="shared" si="140"/>
        <v>0</v>
      </c>
      <c r="L488" s="87">
        <f t="shared" si="140"/>
        <v>5006.7</v>
      </c>
      <c r="M488" s="87">
        <f t="shared" si="140"/>
        <v>0</v>
      </c>
      <c r="N488" s="87">
        <f t="shared" si="140"/>
        <v>0</v>
      </c>
      <c r="O488" s="87">
        <f t="shared" si="140"/>
        <v>5006.7</v>
      </c>
      <c r="P488" s="60"/>
      <c r="Q488" s="39">
        <f>Q490</f>
        <v>5006.7</v>
      </c>
    </row>
    <row r="489" spans="1:17" ht="12.75">
      <c r="A489" s="13" t="s">
        <v>38</v>
      </c>
      <c r="B489" s="13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55"/>
      <c r="Q489" s="53"/>
    </row>
    <row r="490" spans="1:17" ht="12.75">
      <c r="A490" s="14" t="s">
        <v>72</v>
      </c>
      <c r="B490" s="14"/>
      <c r="C490" s="88">
        <v>3000</v>
      </c>
      <c r="D490" s="88"/>
      <c r="E490" s="88">
        <v>2006.7</v>
      </c>
      <c r="F490" s="88">
        <f>C490+D490+E490</f>
        <v>5006.7</v>
      </c>
      <c r="G490" s="88"/>
      <c r="H490" s="88"/>
      <c r="I490" s="88">
        <f>F490+G490+H490</f>
        <v>5006.7</v>
      </c>
      <c r="J490" s="88"/>
      <c r="K490" s="88"/>
      <c r="L490" s="88">
        <f>I490+J490+K490</f>
        <v>5006.7</v>
      </c>
      <c r="M490" s="88"/>
      <c r="N490" s="88"/>
      <c r="O490" s="88">
        <f>L490+M490+N490</f>
        <v>5006.7</v>
      </c>
      <c r="P490" s="68"/>
      <c r="Q490" s="69">
        <f>O490+P490</f>
        <v>5006.7</v>
      </c>
    </row>
    <row r="491" spans="1:17" ht="12.75">
      <c r="A491" s="8" t="s">
        <v>147</v>
      </c>
      <c r="B491" s="8"/>
      <c r="C491" s="83">
        <f aca="true" t="shared" si="141" ref="C491:O491">C493+C494</f>
        <v>161000</v>
      </c>
      <c r="D491" s="90">
        <f t="shared" si="141"/>
        <v>-4000</v>
      </c>
      <c r="E491" s="90">
        <f t="shared" si="141"/>
        <v>76443.2</v>
      </c>
      <c r="F491" s="90">
        <f t="shared" si="141"/>
        <v>233443.2</v>
      </c>
      <c r="G491" s="90">
        <f t="shared" si="141"/>
        <v>56551.2</v>
      </c>
      <c r="H491" s="90">
        <f t="shared" si="141"/>
        <v>12536.3</v>
      </c>
      <c r="I491" s="90">
        <f t="shared" si="141"/>
        <v>302530.70000000007</v>
      </c>
      <c r="J491" s="90">
        <f t="shared" si="141"/>
        <v>22415.1</v>
      </c>
      <c r="K491" s="90">
        <f t="shared" si="141"/>
        <v>5036.1</v>
      </c>
      <c r="L491" s="90">
        <f t="shared" si="141"/>
        <v>329981.89999999997</v>
      </c>
      <c r="M491" s="90">
        <f t="shared" si="141"/>
        <v>0</v>
      </c>
      <c r="N491" s="90">
        <f t="shared" si="141"/>
        <v>0</v>
      </c>
      <c r="O491" s="90">
        <f t="shared" si="141"/>
        <v>329981.9</v>
      </c>
      <c r="P491" s="56"/>
      <c r="Q491" s="38">
        <f>Q493+Q494</f>
        <v>329981.9</v>
      </c>
    </row>
    <row r="492" spans="1:17" ht="12.75">
      <c r="A492" s="10" t="s">
        <v>38</v>
      </c>
      <c r="B492" s="10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56"/>
      <c r="Q492" s="38"/>
    </row>
    <row r="493" spans="1:17" ht="12.75">
      <c r="A493" s="8" t="s">
        <v>69</v>
      </c>
      <c r="B493" s="8"/>
      <c r="C493" s="83">
        <f aca="true" t="shared" si="142" ref="C493:O493">C510+C522+C524+C529+C534+C525+C515+C536+C517+C539</f>
        <v>20450</v>
      </c>
      <c r="D493" s="85">
        <f t="shared" si="142"/>
        <v>-2000</v>
      </c>
      <c r="E493" s="85">
        <f t="shared" si="142"/>
        <v>2733.6</v>
      </c>
      <c r="F493" s="85">
        <f t="shared" si="142"/>
        <v>21183.6</v>
      </c>
      <c r="G493" s="85">
        <f t="shared" si="142"/>
        <v>4287.5</v>
      </c>
      <c r="H493" s="85">
        <f t="shared" si="142"/>
        <v>-3384.2000000000003</v>
      </c>
      <c r="I493" s="85">
        <f t="shared" si="142"/>
        <v>22086.9</v>
      </c>
      <c r="J493" s="85">
        <f t="shared" si="142"/>
        <v>7890</v>
      </c>
      <c r="K493" s="85">
        <f t="shared" si="142"/>
        <v>3469.3</v>
      </c>
      <c r="L493" s="85">
        <f t="shared" si="142"/>
        <v>33446.2</v>
      </c>
      <c r="M493" s="85">
        <f t="shared" si="142"/>
        <v>4350</v>
      </c>
      <c r="N493" s="85">
        <f t="shared" si="142"/>
        <v>0</v>
      </c>
      <c r="O493" s="85">
        <f t="shared" si="142"/>
        <v>37796.200000000004</v>
      </c>
      <c r="P493" s="56"/>
      <c r="Q493" s="38">
        <f>Q508+Q510+Q517+Q529+Q534+Q525+Q515+Q522+Q524+Q536</f>
        <v>37796.200000000004</v>
      </c>
    </row>
    <row r="494" spans="1:17" ht="12.75">
      <c r="A494" s="8" t="s">
        <v>75</v>
      </c>
      <c r="B494" s="8"/>
      <c r="C494" s="83">
        <f>C497+C498+C500+C501+C503+C505+C506+C507+C511+C512+C514+C516+C518+C520+C521+C523+C526+C528+C530+C531+C533+C535+C537+C541+C540</f>
        <v>140550</v>
      </c>
      <c r="D494" s="85">
        <f>D497+D498+D500+D501+D503+D505+D506+D507+D511+D512+D514+D516+D518+D520+D521+D523+D526+D528+D530+D531+D533+D535+D537+D541+D540</f>
        <v>-2000</v>
      </c>
      <c r="E494" s="85">
        <f>E497+E498+E500+E501+E503+E505+E506+E507+E511+E512+E514+E516+E518+E520+E521+E523+E526+E528+E530+E531+E533+E535+E537+E541</f>
        <v>73709.59999999999</v>
      </c>
      <c r="F494" s="85">
        <f aca="true" t="shared" si="143" ref="F494:L494">F497+F498+F500+F501+F503+F505+F506+F507+F511+F512+F514+F516+F518+F520+F521+F523+F526+F528+F530+F531+F533+F535+F537+F541+F540</f>
        <v>212259.6</v>
      </c>
      <c r="G494" s="85">
        <f t="shared" si="143"/>
        <v>52263.7</v>
      </c>
      <c r="H494" s="85">
        <f t="shared" si="143"/>
        <v>15920.5</v>
      </c>
      <c r="I494" s="85">
        <f t="shared" si="143"/>
        <v>280443.80000000005</v>
      </c>
      <c r="J494" s="85">
        <f t="shared" si="143"/>
        <v>14525.099999999999</v>
      </c>
      <c r="K494" s="85">
        <f t="shared" si="143"/>
        <v>1566.8000000000002</v>
      </c>
      <c r="L494" s="85">
        <f t="shared" si="143"/>
        <v>296535.69999999995</v>
      </c>
      <c r="M494" s="85">
        <f>M497+M498+M500+M501+M503+M505+M506+M507+M511+M512+M514+M516+M518+M520+M521+M523+M526+M528+M530+M531+M533+M535+M537+M541+M540</f>
        <v>-4350</v>
      </c>
      <c r="N494" s="85">
        <f>N497+N498+N500+N501+N503+N505+N506+N507+N511+N512+N514+N516+N518+N520+N521+N523+N526+N528+N530+N531+N533+N535+N537+N541+N540</f>
        <v>0</v>
      </c>
      <c r="O494" s="85">
        <f>O497+O498+O500+O501+O503+O505+O506+O507+O511+O512+O514+O516+O518+O520+O521+O523+O526+O528+O530+O531+O533+O535+O537+O541+O540</f>
        <v>292185.7</v>
      </c>
      <c r="P494" s="56"/>
      <c r="Q494" s="38">
        <f>Q497+Q498+Q500+Q501+Q505+Q506+Q507+Q511+Q512+Q514+Q516+Q518+Q520+Q521+Q523+Q526+Q528+Q530+Q531+Q533+Q535+Q537+Q541</f>
        <v>292185.7</v>
      </c>
    </row>
    <row r="495" spans="1:17" ht="12.75">
      <c r="A495" s="9" t="s">
        <v>148</v>
      </c>
      <c r="B495" s="9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55"/>
      <c r="Q495" s="53"/>
    </row>
    <row r="496" spans="1:17" ht="12.75">
      <c r="A496" s="10" t="s">
        <v>149</v>
      </c>
      <c r="B496" s="10"/>
      <c r="C496" s="84">
        <f aca="true" t="shared" si="144" ref="C496:O496">C497+C498</f>
        <v>1000</v>
      </c>
      <c r="D496" s="84">
        <f t="shared" si="144"/>
        <v>0</v>
      </c>
      <c r="E496" s="84">
        <f t="shared" si="144"/>
        <v>0</v>
      </c>
      <c r="F496" s="84">
        <f t="shared" si="144"/>
        <v>1000</v>
      </c>
      <c r="G496" s="84">
        <f t="shared" si="144"/>
        <v>0</v>
      </c>
      <c r="H496" s="84">
        <f t="shared" si="144"/>
        <v>0</v>
      </c>
      <c r="I496" s="84">
        <f t="shared" si="144"/>
        <v>1000</v>
      </c>
      <c r="J496" s="84">
        <f t="shared" si="144"/>
        <v>0</v>
      </c>
      <c r="K496" s="84">
        <f t="shared" si="144"/>
        <v>14.7</v>
      </c>
      <c r="L496" s="84">
        <f t="shared" si="144"/>
        <v>1014.7</v>
      </c>
      <c r="M496" s="84">
        <f t="shared" si="144"/>
        <v>0</v>
      </c>
      <c r="N496" s="84">
        <f t="shared" si="144"/>
        <v>0</v>
      </c>
      <c r="O496" s="84">
        <f t="shared" si="144"/>
        <v>1014.7</v>
      </c>
      <c r="P496" s="57"/>
      <c r="Q496" s="45">
        <f>Q497+Q498</f>
        <v>1014.7</v>
      </c>
    </row>
    <row r="497" spans="1:17" ht="12.75">
      <c r="A497" s="10" t="s">
        <v>150</v>
      </c>
      <c r="B497" s="10"/>
      <c r="C497" s="84"/>
      <c r="D497" s="84"/>
      <c r="E497" s="83"/>
      <c r="F497" s="84">
        <f aca="true" t="shared" si="145" ref="F497:F541">C497+D497+E497</f>
        <v>0</v>
      </c>
      <c r="G497" s="84"/>
      <c r="H497" s="83"/>
      <c r="I497" s="84">
        <f>F497+G497+H497</f>
        <v>0</v>
      </c>
      <c r="J497" s="84"/>
      <c r="K497" s="83"/>
      <c r="L497" s="84">
        <f>I497+J497+K497</f>
        <v>0</v>
      </c>
      <c r="M497" s="84">
        <v>1014.7</v>
      </c>
      <c r="N497" s="83"/>
      <c r="O497" s="84">
        <f>L497+M497+N497</f>
        <v>1014.7</v>
      </c>
      <c r="P497" s="55"/>
      <c r="Q497" s="53">
        <f>O497+P497</f>
        <v>1014.7</v>
      </c>
    </row>
    <row r="498" spans="1:17" ht="12.75">
      <c r="A498" s="10" t="s">
        <v>151</v>
      </c>
      <c r="B498" s="10"/>
      <c r="C498" s="84">
        <v>1000</v>
      </c>
      <c r="D498" s="84"/>
      <c r="E498" s="84"/>
      <c r="F498" s="84">
        <f t="shared" si="145"/>
        <v>1000</v>
      </c>
      <c r="G498" s="84"/>
      <c r="H498" s="83"/>
      <c r="I498" s="84">
        <f>F498+G498+H498</f>
        <v>1000</v>
      </c>
      <c r="J498" s="84"/>
      <c r="K498" s="84">
        <v>14.7</v>
      </c>
      <c r="L498" s="84">
        <f>I498+J498+K498</f>
        <v>1014.7</v>
      </c>
      <c r="M498" s="84">
        <v>-1014.7</v>
      </c>
      <c r="N498" s="83"/>
      <c r="O498" s="84">
        <f>L498+M498+N498</f>
        <v>0</v>
      </c>
      <c r="P498" s="55"/>
      <c r="Q498" s="53">
        <f>O498+P498</f>
        <v>0</v>
      </c>
    </row>
    <row r="499" spans="1:17" ht="12.75">
      <c r="A499" s="10" t="s">
        <v>152</v>
      </c>
      <c r="B499" s="10"/>
      <c r="C499" s="84">
        <f aca="true" t="shared" si="146" ref="C499:O499">C500+C501</f>
        <v>2260</v>
      </c>
      <c r="D499" s="84">
        <f t="shared" si="146"/>
        <v>0</v>
      </c>
      <c r="E499" s="84">
        <f t="shared" si="146"/>
        <v>0</v>
      </c>
      <c r="F499" s="84">
        <f t="shared" si="146"/>
        <v>2260</v>
      </c>
      <c r="G499" s="84">
        <f t="shared" si="146"/>
        <v>4132.8</v>
      </c>
      <c r="H499" s="84">
        <f t="shared" si="146"/>
        <v>0</v>
      </c>
      <c r="I499" s="84">
        <f t="shared" si="146"/>
        <v>6392.8</v>
      </c>
      <c r="J499" s="84">
        <f t="shared" si="146"/>
        <v>-2797</v>
      </c>
      <c r="K499" s="84">
        <f t="shared" si="146"/>
        <v>0</v>
      </c>
      <c r="L499" s="84">
        <f t="shared" si="146"/>
        <v>3595.8</v>
      </c>
      <c r="M499" s="84">
        <f t="shared" si="146"/>
        <v>0</v>
      </c>
      <c r="N499" s="84">
        <f t="shared" si="146"/>
        <v>0</v>
      </c>
      <c r="O499" s="84">
        <f t="shared" si="146"/>
        <v>3595.8</v>
      </c>
      <c r="P499" s="57"/>
      <c r="Q499" s="45">
        <f>Q500+Q501</f>
        <v>3595.8</v>
      </c>
    </row>
    <row r="500" spans="1:17" ht="12.75">
      <c r="A500" s="10" t="s">
        <v>150</v>
      </c>
      <c r="B500" s="10"/>
      <c r="C500" s="84">
        <v>2260</v>
      </c>
      <c r="D500" s="84"/>
      <c r="E500" s="84"/>
      <c r="F500" s="84">
        <f t="shared" si="145"/>
        <v>2260</v>
      </c>
      <c r="G500" s="84">
        <v>3000</v>
      </c>
      <c r="H500" s="83"/>
      <c r="I500" s="84">
        <f>F500+G500+H500</f>
        <v>5260</v>
      </c>
      <c r="J500" s="84">
        <f>203-3000</f>
        <v>-2797</v>
      </c>
      <c r="K500" s="84"/>
      <c r="L500" s="84">
        <f>I500+J500+K500</f>
        <v>2463</v>
      </c>
      <c r="M500" s="84"/>
      <c r="N500" s="83"/>
      <c r="O500" s="84">
        <f>L500+M500+N500</f>
        <v>2463</v>
      </c>
      <c r="P500" s="55"/>
      <c r="Q500" s="53">
        <f>O500+P500</f>
        <v>2463</v>
      </c>
    </row>
    <row r="501" spans="1:17" ht="12.75">
      <c r="A501" s="10" t="s">
        <v>151</v>
      </c>
      <c r="B501" s="10"/>
      <c r="C501" s="84"/>
      <c r="D501" s="84"/>
      <c r="E501" s="84"/>
      <c r="F501" s="84">
        <f t="shared" si="145"/>
        <v>0</v>
      </c>
      <c r="G501" s="84">
        <v>1132.8</v>
      </c>
      <c r="H501" s="83"/>
      <c r="I501" s="84">
        <f>F501+G501+H501</f>
        <v>1132.8</v>
      </c>
      <c r="J501" s="84">
        <f>-203+203</f>
        <v>0</v>
      </c>
      <c r="K501" s="84"/>
      <c r="L501" s="84">
        <f>I501+J501+K501</f>
        <v>1132.8</v>
      </c>
      <c r="M501" s="84"/>
      <c r="N501" s="83"/>
      <c r="O501" s="84">
        <f>L501+M501+N501</f>
        <v>1132.8</v>
      </c>
      <c r="P501" s="55"/>
      <c r="Q501" s="53">
        <f>O501+P501</f>
        <v>1132.8</v>
      </c>
    </row>
    <row r="502" spans="1:17" ht="12.75" hidden="1">
      <c r="A502" s="11" t="s">
        <v>253</v>
      </c>
      <c r="B502" s="11"/>
      <c r="C502" s="84">
        <f aca="true" t="shared" si="147" ref="C502:O502">C503</f>
        <v>0</v>
      </c>
      <c r="D502" s="84">
        <f t="shared" si="147"/>
        <v>0</v>
      </c>
      <c r="E502" s="84">
        <f t="shared" si="147"/>
        <v>0</v>
      </c>
      <c r="F502" s="84">
        <f t="shared" si="147"/>
        <v>0</v>
      </c>
      <c r="G502" s="84">
        <f t="shared" si="147"/>
        <v>0</v>
      </c>
      <c r="H502" s="84">
        <f t="shared" si="147"/>
        <v>0</v>
      </c>
      <c r="I502" s="84">
        <f t="shared" si="147"/>
        <v>0</v>
      </c>
      <c r="J502" s="84">
        <f t="shared" si="147"/>
        <v>0</v>
      </c>
      <c r="K502" s="84">
        <f t="shared" si="147"/>
        <v>0</v>
      </c>
      <c r="L502" s="84">
        <f t="shared" si="147"/>
        <v>0</v>
      </c>
      <c r="M502" s="84">
        <f t="shared" si="147"/>
        <v>0</v>
      </c>
      <c r="N502" s="84">
        <f t="shared" si="147"/>
        <v>0</v>
      </c>
      <c r="O502" s="84">
        <f t="shared" si="147"/>
        <v>0</v>
      </c>
      <c r="P502" s="55"/>
      <c r="Q502" s="53"/>
    </row>
    <row r="503" spans="1:17" ht="12.75" hidden="1">
      <c r="A503" s="11" t="s">
        <v>254</v>
      </c>
      <c r="B503" s="11"/>
      <c r="C503" s="84"/>
      <c r="D503" s="84"/>
      <c r="E503" s="84"/>
      <c r="F503" s="84">
        <f t="shared" si="145"/>
        <v>0</v>
      </c>
      <c r="G503" s="84"/>
      <c r="H503" s="83"/>
      <c r="I503" s="84"/>
      <c r="J503" s="84"/>
      <c r="K503" s="83"/>
      <c r="L503" s="84"/>
      <c r="M503" s="84"/>
      <c r="N503" s="83"/>
      <c r="O503" s="84">
        <f>L503+M503+N503</f>
        <v>0</v>
      </c>
      <c r="P503" s="55"/>
      <c r="Q503" s="53"/>
    </row>
    <row r="504" spans="1:17" ht="12.75">
      <c r="A504" s="10" t="s">
        <v>153</v>
      </c>
      <c r="B504" s="10"/>
      <c r="C504" s="84">
        <f aca="true" t="shared" si="148" ref="C504:O504">SUM(C505:C507)</f>
        <v>40000</v>
      </c>
      <c r="D504" s="84">
        <f t="shared" si="148"/>
        <v>0</v>
      </c>
      <c r="E504" s="84">
        <f t="shared" si="148"/>
        <v>34341.799999999996</v>
      </c>
      <c r="F504" s="84">
        <f t="shared" si="148"/>
        <v>74341.8</v>
      </c>
      <c r="G504" s="84">
        <f t="shared" si="148"/>
        <v>8518.4</v>
      </c>
      <c r="H504" s="84">
        <f t="shared" si="148"/>
        <v>0</v>
      </c>
      <c r="I504" s="84">
        <f t="shared" si="148"/>
        <v>82860.2</v>
      </c>
      <c r="J504" s="84">
        <f t="shared" si="148"/>
        <v>19200</v>
      </c>
      <c r="K504" s="84">
        <f t="shared" si="148"/>
        <v>0</v>
      </c>
      <c r="L504" s="84">
        <f t="shared" si="148"/>
        <v>102060.2</v>
      </c>
      <c r="M504" s="84">
        <f t="shared" si="148"/>
        <v>0</v>
      </c>
      <c r="N504" s="84">
        <f t="shared" si="148"/>
        <v>0</v>
      </c>
      <c r="O504" s="84">
        <f t="shared" si="148"/>
        <v>102060.2</v>
      </c>
      <c r="P504" s="57"/>
      <c r="Q504" s="45">
        <f>SUM(Q505:Q507)</f>
        <v>102060.2</v>
      </c>
    </row>
    <row r="505" spans="1:17" ht="12.75">
      <c r="A505" s="10" t="s">
        <v>154</v>
      </c>
      <c r="B505" s="10"/>
      <c r="C505" s="84">
        <v>15000</v>
      </c>
      <c r="D505" s="84"/>
      <c r="E505" s="84">
        <v>4717.7</v>
      </c>
      <c r="F505" s="84">
        <f t="shared" si="145"/>
        <v>19717.7</v>
      </c>
      <c r="G505" s="84">
        <v>-7000</v>
      </c>
      <c r="H505" s="84"/>
      <c r="I505" s="84">
        <f>F505+G505+H505</f>
        <v>12717.7</v>
      </c>
      <c r="J505" s="84"/>
      <c r="K505" s="84"/>
      <c r="L505" s="84">
        <f>I505+J505+K505</f>
        <v>12717.7</v>
      </c>
      <c r="M505" s="84"/>
      <c r="N505" s="84"/>
      <c r="O505" s="84">
        <f>L505+M505+N505</f>
        <v>12717.7</v>
      </c>
      <c r="P505" s="55"/>
      <c r="Q505" s="53">
        <f>O505+P505</f>
        <v>12717.7</v>
      </c>
    </row>
    <row r="506" spans="1:17" ht="12.75">
      <c r="A506" s="10" t="s">
        <v>155</v>
      </c>
      <c r="B506" s="10"/>
      <c r="C506" s="84">
        <v>21000</v>
      </c>
      <c r="D506" s="91"/>
      <c r="E506" s="84">
        <v>29624.1</v>
      </c>
      <c r="F506" s="84">
        <f t="shared" si="145"/>
        <v>50624.1</v>
      </c>
      <c r="G506" s="84">
        <f>7000+4618.4+3900</f>
        <v>15518.4</v>
      </c>
      <c r="H506" s="84"/>
      <c r="I506" s="84">
        <f>F506+G506+H506</f>
        <v>66142.5</v>
      </c>
      <c r="J506" s="84">
        <v>19200</v>
      </c>
      <c r="K506" s="84"/>
      <c r="L506" s="84">
        <f>I506+J506+K506</f>
        <v>85342.5</v>
      </c>
      <c r="M506" s="84"/>
      <c r="N506" s="84"/>
      <c r="O506" s="84">
        <f>L506+M506+N506</f>
        <v>85342.5</v>
      </c>
      <c r="P506" s="55"/>
      <c r="Q506" s="53">
        <f>O506+P506</f>
        <v>85342.5</v>
      </c>
    </row>
    <row r="507" spans="1:17" ht="12.75">
      <c r="A507" s="10" t="s">
        <v>151</v>
      </c>
      <c r="B507" s="10"/>
      <c r="C507" s="84">
        <v>4000</v>
      </c>
      <c r="D507" s="84"/>
      <c r="E507" s="84"/>
      <c r="F507" s="84">
        <f t="shared" si="145"/>
        <v>4000</v>
      </c>
      <c r="G507" s="84"/>
      <c r="H507" s="84"/>
      <c r="I507" s="84">
        <f>F507+G507+H507</f>
        <v>4000</v>
      </c>
      <c r="J507" s="84"/>
      <c r="K507" s="84"/>
      <c r="L507" s="84">
        <f>I507+J507+K507</f>
        <v>4000</v>
      </c>
      <c r="M507" s="84"/>
      <c r="N507" s="84"/>
      <c r="O507" s="84">
        <f>L507+M507+N507</f>
        <v>4000</v>
      </c>
      <c r="P507" s="55"/>
      <c r="Q507" s="53">
        <f>O507+P507</f>
        <v>4000</v>
      </c>
    </row>
    <row r="508" spans="1:17" ht="12.75">
      <c r="A508" s="11" t="s">
        <v>182</v>
      </c>
      <c r="B508" s="11"/>
      <c r="C508" s="84"/>
      <c r="D508" s="84"/>
      <c r="E508" s="84"/>
      <c r="F508" s="84">
        <f t="shared" si="145"/>
        <v>0</v>
      </c>
      <c r="G508" s="84"/>
      <c r="H508" s="84"/>
      <c r="I508" s="84">
        <f>F508+G508+H508</f>
        <v>0</v>
      </c>
      <c r="J508" s="84"/>
      <c r="K508" s="84"/>
      <c r="L508" s="84">
        <f>I508+J508+K508</f>
        <v>0</v>
      </c>
      <c r="M508" s="84"/>
      <c r="N508" s="84"/>
      <c r="O508" s="84">
        <f>L508+M508+N508</f>
        <v>0</v>
      </c>
      <c r="P508" s="55"/>
      <c r="Q508" s="53">
        <f>O508+P508</f>
        <v>0</v>
      </c>
    </row>
    <row r="509" spans="1:17" ht="12.75">
      <c r="A509" s="10" t="s">
        <v>156</v>
      </c>
      <c r="B509" s="10"/>
      <c r="C509" s="84">
        <f aca="true" t="shared" si="149" ref="C509:Q509">C510+C511+C512</f>
        <v>1000</v>
      </c>
      <c r="D509" s="84">
        <f t="shared" si="149"/>
        <v>0</v>
      </c>
      <c r="E509" s="84">
        <f t="shared" si="149"/>
        <v>711</v>
      </c>
      <c r="F509" s="84">
        <f t="shared" si="149"/>
        <v>1711</v>
      </c>
      <c r="G509" s="84">
        <f t="shared" si="149"/>
        <v>0</v>
      </c>
      <c r="H509" s="84">
        <f t="shared" si="149"/>
        <v>232.9</v>
      </c>
      <c r="I509" s="84">
        <f t="shared" si="149"/>
        <v>1943.9</v>
      </c>
      <c r="J509" s="84">
        <f t="shared" si="149"/>
        <v>0</v>
      </c>
      <c r="K509" s="84">
        <f t="shared" si="149"/>
        <v>0</v>
      </c>
      <c r="L509" s="84">
        <f t="shared" si="149"/>
        <v>1943.9</v>
      </c>
      <c r="M509" s="84">
        <f t="shared" si="149"/>
        <v>2000</v>
      </c>
      <c r="N509" s="84">
        <f t="shared" si="149"/>
        <v>0</v>
      </c>
      <c r="O509" s="84">
        <f t="shared" si="149"/>
        <v>3943.9</v>
      </c>
      <c r="P509" s="57"/>
      <c r="Q509" s="45">
        <f t="shared" si="149"/>
        <v>3943.9</v>
      </c>
    </row>
    <row r="510" spans="1:17" ht="12.75">
      <c r="A510" s="10" t="s">
        <v>157</v>
      </c>
      <c r="B510" s="10"/>
      <c r="C510" s="84">
        <v>1000</v>
      </c>
      <c r="D510" s="84"/>
      <c r="E510" s="84">
        <v>80</v>
      </c>
      <c r="F510" s="84">
        <f t="shared" si="145"/>
        <v>1080</v>
      </c>
      <c r="G510" s="84"/>
      <c r="H510" s="84">
        <v>31</v>
      </c>
      <c r="I510" s="84">
        <f>F510+G510+H510</f>
        <v>1111</v>
      </c>
      <c r="J510" s="84"/>
      <c r="K510" s="84"/>
      <c r="L510" s="84">
        <f>I510+J510+K510</f>
        <v>1111</v>
      </c>
      <c r="M510" s="84"/>
      <c r="N510" s="84"/>
      <c r="O510" s="84">
        <f>L510+M510+N510</f>
        <v>1111</v>
      </c>
      <c r="P510" s="55"/>
      <c r="Q510" s="53">
        <f>O510+P510</f>
        <v>1111</v>
      </c>
    </row>
    <row r="511" spans="1:17" ht="12.75">
      <c r="A511" s="10" t="s">
        <v>155</v>
      </c>
      <c r="B511" s="10"/>
      <c r="C511" s="84"/>
      <c r="D511" s="84"/>
      <c r="E511" s="84">
        <v>631</v>
      </c>
      <c r="F511" s="84">
        <f t="shared" si="145"/>
        <v>631</v>
      </c>
      <c r="G511" s="84"/>
      <c r="H511" s="84"/>
      <c r="I511" s="84">
        <f>F511+G511+H511</f>
        <v>631</v>
      </c>
      <c r="J511" s="84"/>
      <c r="K511" s="84"/>
      <c r="L511" s="84">
        <f>I511+J511+K511</f>
        <v>631</v>
      </c>
      <c r="M511" s="84">
        <f>2000+201.9</f>
        <v>2201.9</v>
      </c>
      <c r="N511" s="84"/>
      <c r="O511" s="84">
        <f>L511+M511+N511</f>
        <v>2832.9</v>
      </c>
      <c r="P511" s="55"/>
      <c r="Q511" s="53">
        <f>O511+P511</f>
        <v>2832.9</v>
      </c>
    </row>
    <row r="512" spans="1:17" ht="12.75" customHeight="1">
      <c r="A512" s="19" t="s">
        <v>151</v>
      </c>
      <c r="B512" s="19"/>
      <c r="C512" s="88"/>
      <c r="D512" s="88"/>
      <c r="E512" s="88"/>
      <c r="F512" s="88">
        <f t="shared" si="145"/>
        <v>0</v>
      </c>
      <c r="G512" s="88"/>
      <c r="H512" s="88">
        <v>201.9</v>
      </c>
      <c r="I512" s="88">
        <f>F512+G512+H512</f>
        <v>201.9</v>
      </c>
      <c r="J512" s="88"/>
      <c r="K512" s="88"/>
      <c r="L512" s="88">
        <f>I512+J512+K512</f>
        <v>201.9</v>
      </c>
      <c r="M512" s="88">
        <v>-201.9</v>
      </c>
      <c r="N512" s="88"/>
      <c r="O512" s="88">
        <f>L512+M512+N512</f>
        <v>0</v>
      </c>
      <c r="P512" s="55"/>
      <c r="Q512" s="53">
        <f>O512+P512</f>
        <v>0</v>
      </c>
    </row>
    <row r="513" spans="1:17" ht="12.75">
      <c r="A513" s="10" t="s">
        <v>158</v>
      </c>
      <c r="B513" s="10"/>
      <c r="C513" s="84">
        <f aca="true" t="shared" si="150" ref="C513:O513">SUM(C514:C518)</f>
        <v>30000</v>
      </c>
      <c r="D513" s="84">
        <f t="shared" si="150"/>
        <v>0</v>
      </c>
      <c r="E513" s="84">
        <f t="shared" si="150"/>
        <v>0</v>
      </c>
      <c r="F513" s="84">
        <f t="shared" si="150"/>
        <v>30000</v>
      </c>
      <c r="G513" s="84">
        <f t="shared" si="150"/>
        <v>18100</v>
      </c>
      <c r="H513" s="84">
        <f t="shared" si="150"/>
        <v>12303.4</v>
      </c>
      <c r="I513" s="84">
        <f t="shared" si="150"/>
        <v>60403.4</v>
      </c>
      <c r="J513" s="84">
        <f t="shared" si="150"/>
        <v>2600</v>
      </c>
      <c r="K513" s="84">
        <f t="shared" si="150"/>
        <v>2000</v>
      </c>
      <c r="L513" s="84">
        <f t="shared" si="150"/>
        <v>65003.4</v>
      </c>
      <c r="M513" s="84">
        <f t="shared" si="150"/>
        <v>-2000</v>
      </c>
      <c r="N513" s="84">
        <f t="shared" si="150"/>
        <v>0</v>
      </c>
      <c r="O513" s="84">
        <f t="shared" si="150"/>
        <v>63003.4</v>
      </c>
      <c r="P513" s="57"/>
      <c r="Q513" s="45">
        <f>SUM(Q514:Q518)</f>
        <v>63003.4</v>
      </c>
    </row>
    <row r="514" spans="1:17" ht="12.75">
      <c r="A514" s="10" t="s">
        <v>159</v>
      </c>
      <c r="B514" s="10"/>
      <c r="C514" s="84">
        <v>13500</v>
      </c>
      <c r="D514" s="91"/>
      <c r="E514" s="84"/>
      <c r="F514" s="84">
        <f t="shared" si="145"/>
        <v>13500</v>
      </c>
      <c r="G514" s="84">
        <v>13880</v>
      </c>
      <c r="H514" s="84">
        <v>8802</v>
      </c>
      <c r="I514" s="84">
        <f>F514+G514+H514</f>
        <v>36182</v>
      </c>
      <c r="J514" s="84">
        <f>-3100+400</f>
        <v>-2700</v>
      </c>
      <c r="K514" s="84">
        <v>500</v>
      </c>
      <c r="L514" s="84">
        <f>I514+J514+K514</f>
        <v>33982</v>
      </c>
      <c r="M514" s="84"/>
      <c r="N514" s="84"/>
      <c r="O514" s="84">
        <f>L514+M514+N514</f>
        <v>33982</v>
      </c>
      <c r="P514" s="55"/>
      <c r="Q514" s="53">
        <f aca="true" t="shared" si="151" ref="Q514:Q554">O514+P514</f>
        <v>33982</v>
      </c>
    </row>
    <row r="515" spans="1:17" ht="12.75">
      <c r="A515" s="10" t="s">
        <v>160</v>
      </c>
      <c r="B515" s="10"/>
      <c r="C515" s="84">
        <v>10000</v>
      </c>
      <c r="D515" s="84"/>
      <c r="E515" s="84"/>
      <c r="F515" s="84">
        <f t="shared" si="145"/>
        <v>10000</v>
      </c>
      <c r="G515" s="84">
        <v>4220</v>
      </c>
      <c r="H515" s="84">
        <v>3501.4</v>
      </c>
      <c r="I515" s="84">
        <f>F515+G515+H515</f>
        <v>17721.4</v>
      </c>
      <c r="J515" s="84">
        <f>4600+300</f>
        <v>4900</v>
      </c>
      <c r="K515" s="84">
        <v>600</v>
      </c>
      <c r="L515" s="84">
        <f>I515+J515+K515</f>
        <v>23221.4</v>
      </c>
      <c r="M515" s="84"/>
      <c r="N515" s="84"/>
      <c r="O515" s="84">
        <f>L515+M515+N515</f>
        <v>23221.4</v>
      </c>
      <c r="P515" s="55"/>
      <c r="Q515" s="53">
        <f t="shared" si="151"/>
        <v>23221.4</v>
      </c>
    </row>
    <row r="516" spans="1:17" ht="13.5" customHeight="1">
      <c r="A516" s="10" t="s">
        <v>161</v>
      </c>
      <c r="B516" s="10"/>
      <c r="C516" s="84">
        <v>3500</v>
      </c>
      <c r="D516" s="84"/>
      <c r="E516" s="84"/>
      <c r="F516" s="84">
        <f t="shared" si="145"/>
        <v>3500</v>
      </c>
      <c r="G516" s="84"/>
      <c r="H516" s="84"/>
      <c r="I516" s="84">
        <f>F516+G516+H516</f>
        <v>3500</v>
      </c>
      <c r="J516" s="84">
        <v>2000</v>
      </c>
      <c r="K516" s="84"/>
      <c r="L516" s="84">
        <f>I516+J516+K516</f>
        <v>5500</v>
      </c>
      <c r="M516" s="84">
        <v>-2000</v>
      </c>
      <c r="N516" s="84"/>
      <c r="O516" s="84">
        <f>L516+M516+N516</f>
        <v>3500</v>
      </c>
      <c r="P516" s="55"/>
      <c r="Q516" s="53">
        <f t="shared" si="151"/>
        <v>3500</v>
      </c>
    </row>
    <row r="517" spans="1:17" ht="13.5" customHeight="1">
      <c r="A517" s="11" t="s">
        <v>182</v>
      </c>
      <c r="B517" s="11"/>
      <c r="C517" s="84"/>
      <c r="D517" s="84"/>
      <c r="E517" s="84"/>
      <c r="F517" s="84">
        <f t="shared" si="145"/>
        <v>0</v>
      </c>
      <c r="G517" s="84"/>
      <c r="H517" s="84"/>
      <c r="I517" s="84">
        <f>F517+G517+H517</f>
        <v>0</v>
      </c>
      <c r="J517" s="84">
        <v>300</v>
      </c>
      <c r="K517" s="84"/>
      <c r="L517" s="84">
        <f>I517+J517+K517</f>
        <v>300</v>
      </c>
      <c r="M517" s="84"/>
      <c r="N517" s="84"/>
      <c r="O517" s="84">
        <f>L517+M517+N517</f>
        <v>300</v>
      </c>
      <c r="P517" s="55"/>
      <c r="Q517" s="53">
        <f t="shared" si="151"/>
        <v>300</v>
      </c>
    </row>
    <row r="518" spans="1:17" ht="12.75">
      <c r="A518" s="11" t="s">
        <v>162</v>
      </c>
      <c r="B518" s="11"/>
      <c r="C518" s="84">
        <v>3000</v>
      </c>
      <c r="D518" s="84"/>
      <c r="E518" s="84"/>
      <c r="F518" s="84">
        <f t="shared" si="145"/>
        <v>3000</v>
      </c>
      <c r="G518" s="84"/>
      <c r="H518" s="84"/>
      <c r="I518" s="84">
        <f>F518+G518+H518</f>
        <v>3000</v>
      </c>
      <c r="J518" s="84">
        <v>-1900</v>
      </c>
      <c r="K518" s="84">
        <f>2000-1100</f>
        <v>900</v>
      </c>
      <c r="L518" s="84">
        <f>I518+J518+K518</f>
        <v>2000</v>
      </c>
      <c r="M518" s="84"/>
      <c r="N518" s="84"/>
      <c r="O518" s="84">
        <f>L518+M518+N518</f>
        <v>2000</v>
      </c>
      <c r="P518" s="55"/>
      <c r="Q518" s="53">
        <f t="shared" si="151"/>
        <v>2000</v>
      </c>
    </row>
    <row r="519" spans="1:17" ht="12.75">
      <c r="A519" s="10" t="s">
        <v>163</v>
      </c>
      <c r="B519" s="10"/>
      <c r="C519" s="84">
        <f aca="true" t="shared" si="152" ref="C519:O519">SUM(C520:C526)</f>
        <v>65000</v>
      </c>
      <c r="D519" s="84">
        <f t="shared" si="152"/>
        <v>0</v>
      </c>
      <c r="E519" s="84">
        <f t="shared" si="152"/>
        <v>26580.8</v>
      </c>
      <c r="F519" s="84">
        <f t="shared" si="152"/>
        <v>91580.8</v>
      </c>
      <c r="G519" s="84">
        <f t="shared" si="152"/>
        <v>12800</v>
      </c>
      <c r="H519" s="84">
        <f t="shared" si="152"/>
        <v>0</v>
      </c>
      <c r="I519" s="84">
        <f t="shared" si="152"/>
        <v>104380.8</v>
      </c>
      <c r="J519" s="84">
        <f t="shared" si="152"/>
        <v>4192.1</v>
      </c>
      <c r="K519" s="84">
        <f t="shared" si="152"/>
        <v>185.80000000000064</v>
      </c>
      <c r="L519" s="84">
        <f t="shared" si="152"/>
        <v>108758.70000000001</v>
      </c>
      <c r="M519" s="84">
        <f t="shared" si="152"/>
        <v>0</v>
      </c>
      <c r="N519" s="84">
        <f t="shared" si="152"/>
        <v>0</v>
      </c>
      <c r="O519" s="84">
        <f t="shared" si="152"/>
        <v>108758.70000000001</v>
      </c>
      <c r="P519" s="57"/>
      <c r="Q519" s="45">
        <f>SUM(Q520:Q526)</f>
        <v>108758.70000000001</v>
      </c>
    </row>
    <row r="520" spans="1:17" ht="12.75">
      <c r="A520" s="10" t="s">
        <v>164</v>
      </c>
      <c r="B520" s="10"/>
      <c r="C520" s="84">
        <v>5700</v>
      </c>
      <c r="D520" s="84"/>
      <c r="E520" s="84">
        <v>20384.3</v>
      </c>
      <c r="F520" s="84">
        <f t="shared" si="145"/>
        <v>26084.3</v>
      </c>
      <c r="G520" s="84">
        <f>150+6800</f>
        <v>6950</v>
      </c>
      <c r="H520" s="84">
        <v>4500</v>
      </c>
      <c r="I520" s="84">
        <f aca="true" t="shared" si="153" ref="I520:I526">F520+G520+H520</f>
        <v>37534.3</v>
      </c>
      <c r="J520" s="84">
        <f>51.8+120</f>
        <v>171.8</v>
      </c>
      <c r="K520" s="84">
        <v>508</v>
      </c>
      <c r="L520" s="84">
        <f aca="true" t="shared" si="154" ref="L520:L526">I520+J520+K520</f>
        <v>38214.100000000006</v>
      </c>
      <c r="M520" s="84">
        <f>180-3273.4</f>
        <v>-3093.4</v>
      </c>
      <c r="N520" s="84"/>
      <c r="O520" s="84">
        <f aca="true" t="shared" si="155" ref="O520:O526">L520+M520+N520</f>
        <v>35120.700000000004</v>
      </c>
      <c r="P520" s="55"/>
      <c r="Q520" s="53">
        <f t="shared" si="151"/>
        <v>35120.700000000004</v>
      </c>
    </row>
    <row r="521" spans="1:17" ht="12.75">
      <c r="A521" s="10" t="s">
        <v>165</v>
      </c>
      <c r="B521" s="10"/>
      <c r="C521" s="84">
        <v>36600</v>
      </c>
      <c r="D521" s="84"/>
      <c r="E521" s="84">
        <v>3542.9</v>
      </c>
      <c r="F521" s="84">
        <f t="shared" si="145"/>
        <v>40142.9</v>
      </c>
      <c r="G521" s="84"/>
      <c r="H521" s="84">
        <v>6411.3</v>
      </c>
      <c r="I521" s="84">
        <f t="shared" si="153"/>
        <v>46554.200000000004</v>
      </c>
      <c r="J521" s="84">
        <v>1382</v>
      </c>
      <c r="K521" s="84">
        <v>-687.7</v>
      </c>
      <c r="L521" s="84">
        <f t="shared" si="154"/>
        <v>47248.50000000001</v>
      </c>
      <c r="M521" s="84">
        <f>-180</f>
        <v>-180</v>
      </c>
      <c r="N521" s="84"/>
      <c r="O521" s="84">
        <f t="shared" si="155"/>
        <v>47068.50000000001</v>
      </c>
      <c r="P521" s="55"/>
      <c r="Q521" s="53">
        <f t="shared" si="151"/>
        <v>47068.50000000001</v>
      </c>
    </row>
    <row r="522" spans="1:17" ht="12.75">
      <c r="A522" s="10" t="s">
        <v>166</v>
      </c>
      <c r="B522" s="10"/>
      <c r="C522" s="84"/>
      <c r="D522" s="91"/>
      <c r="E522" s="84"/>
      <c r="F522" s="84">
        <f t="shared" si="145"/>
        <v>0</v>
      </c>
      <c r="G522" s="84"/>
      <c r="H522" s="84"/>
      <c r="I522" s="84">
        <f t="shared" si="153"/>
        <v>0</v>
      </c>
      <c r="J522" s="84">
        <v>800</v>
      </c>
      <c r="K522" s="84">
        <v>380</v>
      </c>
      <c r="L522" s="84">
        <f t="shared" si="154"/>
        <v>1180</v>
      </c>
      <c r="M522" s="84"/>
      <c r="N522" s="84"/>
      <c r="O522" s="84">
        <f t="shared" si="155"/>
        <v>1180</v>
      </c>
      <c r="P522" s="55"/>
      <c r="Q522" s="53">
        <f t="shared" si="151"/>
        <v>1180</v>
      </c>
    </row>
    <row r="523" spans="1:17" ht="12.75">
      <c r="A523" s="10" t="s">
        <v>167</v>
      </c>
      <c r="B523" s="10"/>
      <c r="C523" s="84">
        <v>8250</v>
      </c>
      <c r="D523" s="84"/>
      <c r="E523" s="84"/>
      <c r="F523" s="84">
        <f t="shared" si="145"/>
        <v>8250</v>
      </c>
      <c r="G523" s="84">
        <v>6000</v>
      </c>
      <c r="H523" s="84"/>
      <c r="I523" s="84">
        <f t="shared" si="153"/>
        <v>14250</v>
      </c>
      <c r="J523" s="84"/>
      <c r="K523" s="84"/>
      <c r="L523" s="84">
        <f t="shared" si="154"/>
        <v>14250</v>
      </c>
      <c r="M523" s="84"/>
      <c r="N523" s="84"/>
      <c r="O523" s="84">
        <f t="shared" si="155"/>
        <v>14250</v>
      </c>
      <c r="P523" s="55"/>
      <c r="Q523" s="53">
        <f t="shared" si="151"/>
        <v>14250</v>
      </c>
    </row>
    <row r="524" spans="1:17" ht="12.75">
      <c r="A524" s="10" t="s">
        <v>168</v>
      </c>
      <c r="B524" s="10"/>
      <c r="C524" s="84"/>
      <c r="D524" s="84"/>
      <c r="E524" s="84">
        <v>114.1</v>
      </c>
      <c r="F524" s="84">
        <f t="shared" si="145"/>
        <v>114.1</v>
      </c>
      <c r="G524" s="84"/>
      <c r="H524" s="84"/>
      <c r="I524" s="84">
        <f t="shared" si="153"/>
        <v>114.1</v>
      </c>
      <c r="J524" s="91"/>
      <c r="K524" s="84"/>
      <c r="L524" s="84">
        <f t="shared" si="154"/>
        <v>114.1</v>
      </c>
      <c r="M524" s="84"/>
      <c r="N524" s="84"/>
      <c r="O524" s="84">
        <f t="shared" si="155"/>
        <v>114.1</v>
      </c>
      <c r="P524" s="55"/>
      <c r="Q524" s="53">
        <f t="shared" si="151"/>
        <v>114.1</v>
      </c>
    </row>
    <row r="525" spans="1:17" ht="12.75">
      <c r="A525" s="10" t="s">
        <v>169</v>
      </c>
      <c r="B525" s="10"/>
      <c r="C525" s="84">
        <v>7450</v>
      </c>
      <c r="D525" s="84"/>
      <c r="E525" s="84">
        <v>2539.5</v>
      </c>
      <c r="F525" s="84">
        <f t="shared" si="145"/>
        <v>9989.5</v>
      </c>
      <c r="G525" s="84">
        <v>67.5</v>
      </c>
      <c r="H525" s="84">
        <v>-6916.6</v>
      </c>
      <c r="I525" s="84">
        <f t="shared" si="153"/>
        <v>3140.3999999999996</v>
      </c>
      <c r="J525" s="84">
        <v>1890</v>
      </c>
      <c r="K525" s="84">
        <v>2489.3</v>
      </c>
      <c r="L525" s="84">
        <f t="shared" si="154"/>
        <v>7519.7</v>
      </c>
      <c r="M525" s="84">
        <v>3500</v>
      </c>
      <c r="N525" s="84"/>
      <c r="O525" s="84">
        <f t="shared" si="155"/>
        <v>11019.7</v>
      </c>
      <c r="P525" s="55"/>
      <c r="Q525" s="53">
        <f t="shared" si="151"/>
        <v>11019.7</v>
      </c>
    </row>
    <row r="526" spans="1:17" ht="12.75">
      <c r="A526" s="10" t="s">
        <v>162</v>
      </c>
      <c r="B526" s="10"/>
      <c r="C526" s="84">
        <v>7000</v>
      </c>
      <c r="D526" s="84"/>
      <c r="E526" s="84"/>
      <c r="F526" s="84">
        <f t="shared" si="145"/>
        <v>7000</v>
      </c>
      <c r="G526" s="84">
        <v>-217.5</v>
      </c>
      <c r="H526" s="84">
        <v>-3994.7</v>
      </c>
      <c r="I526" s="84">
        <f t="shared" si="153"/>
        <v>2787.8</v>
      </c>
      <c r="J526" s="84">
        <f>-51.8+0.1</f>
        <v>-51.699999999999996</v>
      </c>
      <c r="K526" s="84">
        <f>-2689.6+185.8</f>
        <v>-2503.7999999999997</v>
      </c>
      <c r="L526" s="84">
        <f t="shared" si="154"/>
        <v>232.30000000000064</v>
      </c>
      <c r="M526" s="84">
        <v>-226.6</v>
      </c>
      <c r="N526" s="84"/>
      <c r="O526" s="84">
        <f t="shared" si="155"/>
        <v>5.700000000000642</v>
      </c>
      <c r="P526" s="55"/>
      <c r="Q526" s="53">
        <f t="shared" si="151"/>
        <v>5.700000000000642</v>
      </c>
    </row>
    <row r="527" spans="1:17" ht="12.75">
      <c r="A527" s="10" t="s">
        <v>170</v>
      </c>
      <c r="B527" s="10"/>
      <c r="C527" s="84">
        <f aca="true" t="shared" si="156" ref="C527:O527">SUM(C528:C531)</f>
        <v>2000</v>
      </c>
      <c r="D527" s="84">
        <f t="shared" si="156"/>
        <v>0</v>
      </c>
      <c r="E527" s="84">
        <f t="shared" si="156"/>
        <v>0</v>
      </c>
      <c r="F527" s="84">
        <f t="shared" si="156"/>
        <v>2000</v>
      </c>
      <c r="G527" s="84">
        <f t="shared" si="156"/>
        <v>0</v>
      </c>
      <c r="H527" s="84">
        <f t="shared" si="156"/>
        <v>0</v>
      </c>
      <c r="I527" s="84">
        <f t="shared" si="156"/>
        <v>2000</v>
      </c>
      <c r="J527" s="84">
        <f t="shared" si="156"/>
        <v>0</v>
      </c>
      <c r="K527" s="84">
        <f t="shared" si="156"/>
        <v>258.5</v>
      </c>
      <c r="L527" s="84">
        <f t="shared" si="156"/>
        <v>2258.5</v>
      </c>
      <c r="M527" s="84">
        <f t="shared" si="156"/>
        <v>0</v>
      </c>
      <c r="N527" s="84">
        <f t="shared" si="156"/>
        <v>0</v>
      </c>
      <c r="O527" s="84">
        <f t="shared" si="156"/>
        <v>2258.5</v>
      </c>
      <c r="P527" s="57"/>
      <c r="Q527" s="45">
        <f>SUM(Q528:Q531)</f>
        <v>2258.5</v>
      </c>
    </row>
    <row r="528" spans="1:17" ht="12.75">
      <c r="A528" s="10" t="s">
        <v>159</v>
      </c>
      <c r="B528" s="10"/>
      <c r="C528" s="84">
        <v>800</v>
      </c>
      <c r="D528" s="84"/>
      <c r="E528" s="84"/>
      <c r="F528" s="84">
        <f t="shared" si="145"/>
        <v>800</v>
      </c>
      <c r="G528" s="84"/>
      <c r="H528" s="84"/>
      <c r="I528" s="84">
        <f>F528+G528+H528</f>
        <v>800</v>
      </c>
      <c r="J528" s="84"/>
      <c r="K528" s="84">
        <v>390</v>
      </c>
      <c r="L528" s="84">
        <f>I528+J528+K528</f>
        <v>1190</v>
      </c>
      <c r="M528" s="84"/>
      <c r="N528" s="84"/>
      <c r="O528" s="84">
        <f>L528+M528+N528</f>
        <v>1190</v>
      </c>
      <c r="P528" s="55"/>
      <c r="Q528" s="53">
        <f t="shared" si="151"/>
        <v>1190</v>
      </c>
    </row>
    <row r="529" spans="1:17" ht="12.75">
      <c r="A529" s="10" t="s">
        <v>160</v>
      </c>
      <c r="B529" s="10"/>
      <c r="C529" s="84"/>
      <c r="D529" s="84"/>
      <c r="E529" s="84"/>
      <c r="F529" s="84">
        <f t="shared" si="145"/>
        <v>0</v>
      </c>
      <c r="G529" s="84"/>
      <c r="H529" s="84"/>
      <c r="I529" s="84">
        <f>F529+G529+H529</f>
        <v>0</v>
      </c>
      <c r="J529" s="84"/>
      <c r="K529" s="84"/>
      <c r="L529" s="84">
        <f>I529+J529+K529</f>
        <v>0</v>
      </c>
      <c r="M529" s="84"/>
      <c r="N529" s="84"/>
      <c r="O529" s="84">
        <f>L529+M529+N529</f>
        <v>0</v>
      </c>
      <c r="P529" s="55"/>
      <c r="Q529" s="53">
        <f t="shared" si="151"/>
        <v>0</v>
      </c>
    </row>
    <row r="530" spans="1:17" ht="12.75">
      <c r="A530" s="10" t="s">
        <v>161</v>
      </c>
      <c r="B530" s="10"/>
      <c r="C530" s="84">
        <v>550</v>
      </c>
      <c r="D530" s="84"/>
      <c r="E530" s="84"/>
      <c r="F530" s="84">
        <f t="shared" si="145"/>
        <v>550</v>
      </c>
      <c r="G530" s="84"/>
      <c r="H530" s="84"/>
      <c r="I530" s="84">
        <f>F530+G530+H530</f>
        <v>550</v>
      </c>
      <c r="J530" s="84"/>
      <c r="K530" s="84"/>
      <c r="L530" s="84">
        <f>I530+J530+K530</f>
        <v>550</v>
      </c>
      <c r="M530" s="84">
        <v>100</v>
      </c>
      <c r="N530" s="84"/>
      <c r="O530" s="84">
        <f>L530+M530+N530</f>
        <v>650</v>
      </c>
      <c r="P530" s="55"/>
      <c r="Q530" s="53">
        <f t="shared" si="151"/>
        <v>650</v>
      </c>
    </row>
    <row r="531" spans="1:17" ht="12.75">
      <c r="A531" s="10" t="s">
        <v>162</v>
      </c>
      <c r="B531" s="10"/>
      <c r="C531" s="84">
        <v>650</v>
      </c>
      <c r="D531" s="84"/>
      <c r="E531" s="84"/>
      <c r="F531" s="84">
        <f t="shared" si="145"/>
        <v>650</v>
      </c>
      <c r="G531" s="84"/>
      <c r="H531" s="84"/>
      <c r="I531" s="84">
        <f>F531+G531+H531</f>
        <v>650</v>
      </c>
      <c r="J531" s="84"/>
      <c r="K531" s="84">
        <f>-390+258.5</f>
        <v>-131.5</v>
      </c>
      <c r="L531" s="84">
        <f>I531+J531+K531</f>
        <v>518.5</v>
      </c>
      <c r="M531" s="84">
        <v>-100</v>
      </c>
      <c r="N531" s="84"/>
      <c r="O531" s="84">
        <f>L531+M531+N531</f>
        <v>418.5</v>
      </c>
      <c r="P531" s="55"/>
      <c r="Q531" s="53">
        <f t="shared" si="151"/>
        <v>418.5</v>
      </c>
    </row>
    <row r="532" spans="1:17" ht="12.75">
      <c r="A532" s="10" t="s">
        <v>171</v>
      </c>
      <c r="B532" s="10"/>
      <c r="C532" s="84">
        <f aca="true" t="shared" si="157" ref="C532:O532">SUM(C533:C537)</f>
        <v>12000</v>
      </c>
      <c r="D532" s="84">
        <f t="shared" si="157"/>
        <v>0</v>
      </c>
      <c r="E532" s="84">
        <f t="shared" si="157"/>
        <v>14809.6</v>
      </c>
      <c r="F532" s="84">
        <f t="shared" si="157"/>
        <v>26809.600000000002</v>
      </c>
      <c r="G532" s="84">
        <f t="shared" si="157"/>
        <v>13000</v>
      </c>
      <c r="H532" s="84">
        <f t="shared" si="157"/>
        <v>0</v>
      </c>
      <c r="I532" s="84">
        <f t="shared" si="157"/>
        <v>39809.6</v>
      </c>
      <c r="J532" s="84">
        <f t="shared" si="157"/>
        <v>-2780</v>
      </c>
      <c r="K532" s="84">
        <f t="shared" si="157"/>
        <v>77.5</v>
      </c>
      <c r="L532" s="84">
        <f t="shared" si="157"/>
        <v>37107.1</v>
      </c>
      <c r="M532" s="84">
        <f t="shared" si="157"/>
        <v>0</v>
      </c>
      <c r="N532" s="84">
        <f t="shared" si="157"/>
        <v>0</v>
      </c>
      <c r="O532" s="84">
        <f t="shared" si="157"/>
        <v>37107.1</v>
      </c>
      <c r="P532" s="57"/>
      <c r="Q532" s="45">
        <f>SUM(Q533:Q537)</f>
        <v>37107.1</v>
      </c>
    </row>
    <row r="533" spans="1:17" ht="12.75">
      <c r="A533" s="10" t="s">
        <v>159</v>
      </c>
      <c r="B533" s="10"/>
      <c r="C533" s="84"/>
      <c r="D533" s="84"/>
      <c r="E533" s="84">
        <v>273.7</v>
      </c>
      <c r="F533" s="84">
        <f t="shared" si="145"/>
        <v>273.7</v>
      </c>
      <c r="G533" s="84"/>
      <c r="H533" s="84"/>
      <c r="I533" s="84">
        <f>F533+G533+H533</f>
        <v>273.7</v>
      </c>
      <c r="J533" s="84">
        <v>242</v>
      </c>
      <c r="K533" s="84">
        <v>2960</v>
      </c>
      <c r="L533" s="84">
        <f aca="true" t="shared" si="158" ref="L533:L541">I533+J533+K533</f>
        <v>3475.7</v>
      </c>
      <c r="M533" s="84">
        <f>-680</f>
        <v>-680</v>
      </c>
      <c r="N533" s="84"/>
      <c r="O533" s="84">
        <f aca="true" t="shared" si="159" ref="O533:O541">L533+M533+N533</f>
        <v>2795.7</v>
      </c>
      <c r="P533" s="55"/>
      <c r="Q533" s="53">
        <f t="shared" si="151"/>
        <v>2795.7</v>
      </c>
    </row>
    <row r="534" spans="1:17" ht="12.75">
      <c r="A534" s="10" t="s">
        <v>160</v>
      </c>
      <c r="B534" s="10"/>
      <c r="C534" s="84"/>
      <c r="D534" s="84"/>
      <c r="E534" s="84"/>
      <c r="F534" s="84">
        <f t="shared" si="145"/>
        <v>0</v>
      </c>
      <c r="G534" s="84"/>
      <c r="H534" s="84"/>
      <c r="I534" s="84">
        <f>F534+G534+H534</f>
        <v>0</v>
      </c>
      <c r="J534" s="84"/>
      <c r="K534" s="84"/>
      <c r="L534" s="84">
        <f t="shared" si="158"/>
        <v>0</v>
      </c>
      <c r="M534" s="84">
        <v>850</v>
      </c>
      <c r="N534" s="84"/>
      <c r="O534" s="84">
        <f t="shared" si="159"/>
        <v>850</v>
      </c>
      <c r="P534" s="55"/>
      <c r="Q534" s="53">
        <f t="shared" si="151"/>
        <v>850</v>
      </c>
    </row>
    <row r="535" spans="1:17" ht="12.75">
      <c r="A535" s="10" t="s">
        <v>172</v>
      </c>
      <c r="B535" s="10"/>
      <c r="C535" s="84">
        <v>10800</v>
      </c>
      <c r="D535" s="84"/>
      <c r="E535" s="84">
        <v>12707.4</v>
      </c>
      <c r="F535" s="84">
        <f t="shared" si="145"/>
        <v>23507.4</v>
      </c>
      <c r="G535" s="84">
        <f>13000</f>
        <v>13000</v>
      </c>
      <c r="H535" s="84"/>
      <c r="I535" s="84">
        <f>F535+G535+H535</f>
        <v>36507.4</v>
      </c>
      <c r="J535" s="84"/>
      <c r="K535" s="84">
        <v>-2960</v>
      </c>
      <c r="L535" s="84">
        <f t="shared" si="158"/>
        <v>33547.4</v>
      </c>
      <c r="M535" s="84">
        <f>-170</f>
        <v>-170</v>
      </c>
      <c r="N535" s="84"/>
      <c r="O535" s="84">
        <f t="shared" si="159"/>
        <v>33377.4</v>
      </c>
      <c r="P535" s="55"/>
      <c r="Q535" s="53">
        <f t="shared" si="151"/>
        <v>33377.4</v>
      </c>
    </row>
    <row r="536" spans="1:17" ht="12.75" hidden="1">
      <c r="A536" s="10" t="s">
        <v>169</v>
      </c>
      <c r="B536" s="10"/>
      <c r="C536" s="84"/>
      <c r="D536" s="84"/>
      <c r="E536" s="84"/>
      <c r="F536" s="84">
        <f t="shared" si="145"/>
        <v>0</v>
      </c>
      <c r="G536" s="84"/>
      <c r="H536" s="84"/>
      <c r="I536" s="84">
        <f>F536+G536+H536</f>
        <v>0</v>
      </c>
      <c r="J536" s="84"/>
      <c r="K536" s="84"/>
      <c r="L536" s="84">
        <f t="shared" si="158"/>
        <v>0</v>
      </c>
      <c r="M536" s="84"/>
      <c r="N536" s="84"/>
      <c r="O536" s="84">
        <f t="shared" si="159"/>
        <v>0</v>
      </c>
      <c r="P536" s="55"/>
      <c r="Q536" s="53">
        <f t="shared" si="151"/>
        <v>0</v>
      </c>
    </row>
    <row r="537" spans="1:17" ht="12.75">
      <c r="A537" s="10" t="s">
        <v>162</v>
      </c>
      <c r="B537" s="10"/>
      <c r="C537" s="84">
        <v>1200</v>
      </c>
      <c r="D537" s="91"/>
      <c r="E537" s="84">
        <v>1828.5</v>
      </c>
      <c r="F537" s="84">
        <f t="shared" si="145"/>
        <v>3028.5</v>
      </c>
      <c r="G537" s="84"/>
      <c r="H537" s="84"/>
      <c r="I537" s="84">
        <f>F537+G537+H537</f>
        <v>3028.5</v>
      </c>
      <c r="J537" s="84">
        <f>-2780-242</f>
        <v>-3022</v>
      </c>
      <c r="K537" s="84">
        <v>77.5</v>
      </c>
      <c r="L537" s="84">
        <f t="shared" si="158"/>
        <v>84</v>
      </c>
      <c r="M537" s="84"/>
      <c r="N537" s="84"/>
      <c r="O537" s="84">
        <f t="shared" si="159"/>
        <v>84</v>
      </c>
      <c r="P537" s="55"/>
      <c r="Q537" s="53">
        <f t="shared" si="151"/>
        <v>84</v>
      </c>
    </row>
    <row r="538" spans="1:17" ht="12.75">
      <c r="A538" s="11" t="s">
        <v>173</v>
      </c>
      <c r="B538" s="11"/>
      <c r="C538" s="84">
        <f aca="true" t="shared" si="160" ref="C538:O538">SUM(C539:C541)</f>
        <v>7740</v>
      </c>
      <c r="D538" s="84">
        <f t="shared" si="160"/>
        <v>-4000</v>
      </c>
      <c r="E538" s="84">
        <f t="shared" si="160"/>
        <v>0</v>
      </c>
      <c r="F538" s="84">
        <f t="shared" si="160"/>
        <v>3740</v>
      </c>
      <c r="G538" s="84">
        <f t="shared" si="160"/>
        <v>0</v>
      </c>
      <c r="H538" s="84">
        <f t="shared" si="160"/>
        <v>0</v>
      </c>
      <c r="I538" s="84">
        <f t="shared" si="160"/>
        <v>3740</v>
      </c>
      <c r="J538" s="84">
        <f t="shared" si="160"/>
        <v>2000</v>
      </c>
      <c r="K538" s="84">
        <f t="shared" si="160"/>
        <v>2499.6</v>
      </c>
      <c r="L538" s="84">
        <f t="shared" si="160"/>
        <v>8239.6</v>
      </c>
      <c r="M538" s="84">
        <f t="shared" si="160"/>
        <v>0</v>
      </c>
      <c r="N538" s="84">
        <f t="shared" si="160"/>
        <v>0</v>
      </c>
      <c r="O538" s="84">
        <f t="shared" si="160"/>
        <v>8239.6</v>
      </c>
      <c r="P538" s="55"/>
      <c r="Q538" s="53"/>
    </row>
    <row r="539" spans="1:17" ht="12.75">
      <c r="A539" s="11" t="s">
        <v>276</v>
      </c>
      <c r="B539" s="11"/>
      <c r="C539" s="84">
        <v>2000</v>
      </c>
      <c r="D539" s="91">
        <v>-2000</v>
      </c>
      <c r="E539" s="84"/>
      <c r="F539" s="84">
        <f t="shared" si="145"/>
        <v>0</v>
      </c>
      <c r="G539" s="84"/>
      <c r="H539" s="84"/>
      <c r="I539" s="84">
        <f>F539+G539+H539</f>
        <v>0</v>
      </c>
      <c r="J539" s="84"/>
      <c r="K539" s="84"/>
      <c r="L539" s="84">
        <f t="shared" si="158"/>
        <v>0</v>
      </c>
      <c r="M539" s="84"/>
      <c r="N539" s="84"/>
      <c r="O539" s="84">
        <f t="shared" si="159"/>
        <v>0</v>
      </c>
      <c r="P539" s="55"/>
      <c r="Q539" s="53"/>
    </row>
    <row r="540" spans="1:17" ht="12.75">
      <c r="A540" s="11" t="s">
        <v>277</v>
      </c>
      <c r="B540" s="11"/>
      <c r="C540" s="84">
        <v>2000</v>
      </c>
      <c r="D540" s="91">
        <v>-2000</v>
      </c>
      <c r="E540" s="84"/>
      <c r="F540" s="84">
        <f t="shared" si="145"/>
        <v>0</v>
      </c>
      <c r="G540" s="84"/>
      <c r="H540" s="84"/>
      <c r="I540" s="84">
        <f>F540+G540+H540</f>
        <v>0</v>
      </c>
      <c r="J540" s="84"/>
      <c r="K540" s="84"/>
      <c r="L540" s="84">
        <f t="shared" si="158"/>
        <v>0</v>
      </c>
      <c r="M540" s="84"/>
      <c r="N540" s="84"/>
      <c r="O540" s="84">
        <f t="shared" si="159"/>
        <v>0</v>
      </c>
      <c r="P540" s="55"/>
      <c r="Q540" s="53"/>
    </row>
    <row r="541" spans="1:17" ht="12.75">
      <c r="A541" s="14" t="s">
        <v>278</v>
      </c>
      <c r="B541" s="14"/>
      <c r="C541" s="88">
        <v>3740</v>
      </c>
      <c r="D541" s="88"/>
      <c r="E541" s="88"/>
      <c r="F541" s="88">
        <f t="shared" si="145"/>
        <v>3740</v>
      </c>
      <c r="G541" s="88"/>
      <c r="H541" s="88"/>
      <c r="I541" s="88">
        <f>F541+G541+H541</f>
        <v>3740</v>
      </c>
      <c r="J541" s="88">
        <v>2000</v>
      </c>
      <c r="K541" s="88">
        <v>2499.6</v>
      </c>
      <c r="L541" s="88">
        <f t="shared" si="158"/>
        <v>8239.6</v>
      </c>
      <c r="M541" s="88"/>
      <c r="N541" s="88"/>
      <c r="O541" s="88">
        <f t="shared" si="159"/>
        <v>8239.6</v>
      </c>
      <c r="P541" s="68"/>
      <c r="Q541" s="69">
        <f t="shared" si="151"/>
        <v>8239.6</v>
      </c>
    </row>
    <row r="542" spans="1:17" ht="13.5" thickBot="1">
      <c r="A542" s="25" t="s">
        <v>174</v>
      </c>
      <c r="B542" s="12"/>
      <c r="C542" s="85">
        <v>4798</v>
      </c>
      <c r="D542" s="85"/>
      <c r="E542" s="85"/>
      <c r="F542" s="85">
        <f>SUM(C542:E542)</f>
        <v>4798</v>
      </c>
      <c r="G542" s="85">
        <v>88</v>
      </c>
      <c r="H542" s="85"/>
      <c r="I542" s="85">
        <f>SUM(F542:H542)</f>
        <v>4886</v>
      </c>
      <c r="J542" s="85"/>
      <c r="K542" s="85">
        <f>755.3-23.3</f>
        <v>732</v>
      </c>
      <c r="L542" s="119">
        <f>SUM(I542:K542)</f>
        <v>5618</v>
      </c>
      <c r="M542" s="85"/>
      <c r="N542" s="85"/>
      <c r="O542" s="85">
        <f>SUM(L542:N542)</f>
        <v>5618</v>
      </c>
      <c r="P542" s="58"/>
      <c r="Q542" s="7">
        <f>O542+P542</f>
        <v>5618</v>
      </c>
    </row>
    <row r="543" spans="1:17" ht="14.25" thickBot="1">
      <c r="A543" s="26" t="s">
        <v>175</v>
      </c>
      <c r="B543" s="26"/>
      <c r="C543" s="73">
        <f aca="true" t="shared" si="161" ref="C543:O543">C100+C120+C146+C163+C173+C194+C205+C217+C271+C322+C339+C404+C437+C459+C466+C487+C491+C542+C473+C358</f>
        <v>3476692.5</v>
      </c>
      <c r="D543" s="73">
        <f t="shared" si="161"/>
        <v>0</v>
      </c>
      <c r="E543" s="73">
        <f t="shared" si="161"/>
        <v>552533.4</v>
      </c>
      <c r="F543" s="73">
        <f t="shared" si="161"/>
        <v>4029225.9000000004</v>
      </c>
      <c r="G543" s="73">
        <f t="shared" si="161"/>
        <v>4675059.7</v>
      </c>
      <c r="H543" s="73">
        <f t="shared" si="161"/>
        <v>10046.2</v>
      </c>
      <c r="I543" s="73">
        <f t="shared" si="161"/>
        <v>8714331.8</v>
      </c>
      <c r="J543" s="73">
        <f t="shared" si="161"/>
        <v>562400.6</v>
      </c>
      <c r="K543" s="73">
        <f t="shared" si="161"/>
        <v>34267.1</v>
      </c>
      <c r="L543" s="73">
        <f t="shared" si="161"/>
        <v>9310999.5</v>
      </c>
      <c r="M543" s="73">
        <f t="shared" si="161"/>
        <v>310866.20000000007</v>
      </c>
      <c r="N543" s="73">
        <f t="shared" si="161"/>
        <v>2250</v>
      </c>
      <c r="O543" s="73">
        <f t="shared" si="161"/>
        <v>9624115.7</v>
      </c>
      <c r="P543" s="62">
        <f>P100+P120+P146+P163+P173+P194+P205+P217+P271+P322+P339+P404+P437+P459+P466+P487+P491+P542</f>
        <v>0</v>
      </c>
      <c r="Q543" s="40" t="e">
        <f>Q100+Q120+Q146+Q163+Q173+Q194+Q205+Q217+Q271+Q322+Q339+Q404+Q437+Q459+Q466+Q487+Q491+Q542</f>
        <v>#REF!</v>
      </c>
    </row>
    <row r="544" spans="1:17" ht="13.5" thickBot="1">
      <c r="A544" s="27" t="s">
        <v>176</v>
      </c>
      <c r="B544" s="27"/>
      <c r="C544" s="74">
        <v>-4798</v>
      </c>
      <c r="D544" s="74"/>
      <c r="E544" s="74"/>
      <c r="F544" s="74">
        <f>SUM(C544:E544)</f>
        <v>-4798</v>
      </c>
      <c r="G544" s="74">
        <v>-88</v>
      </c>
      <c r="H544" s="74"/>
      <c r="I544" s="74">
        <f>SUM(F544:H544)</f>
        <v>-4886</v>
      </c>
      <c r="J544" s="74"/>
      <c r="K544" s="74"/>
      <c r="L544" s="74">
        <f>SUM(I544:K544)</f>
        <v>-4886</v>
      </c>
      <c r="M544" s="74"/>
      <c r="N544" s="74"/>
      <c r="O544" s="74">
        <f>SUM(L544:N544)</f>
        <v>-4886</v>
      </c>
      <c r="P544" s="55"/>
      <c r="Q544" s="52">
        <f t="shared" si="151"/>
        <v>-4886</v>
      </c>
    </row>
    <row r="545" spans="1:17" ht="15.75" thickBot="1">
      <c r="A545" s="28" t="s">
        <v>177</v>
      </c>
      <c r="B545" s="28"/>
      <c r="C545" s="75">
        <f>C543+C544</f>
        <v>3471894.5</v>
      </c>
      <c r="D545" s="75">
        <f>D543+D544</f>
        <v>0</v>
      </c>
      <c r="E545" s="75">
        <f>E543+E544</f>
        <v>552533.4</v>
      </c>
      <c r="F545" s="75">
        <f>F543+F544</f>
        <v>4024427.9000000004</v>
      </c>
      <c r="G545" s="75">
        <f aca="true" t="shared" si="162" ref="G545:Q545">G543+G544</f>
        <v>4674971.7</v>
      </c>
      <c r="H545" s="75">
        <f t="shared" si="162"/>
        <v>10046.2</v>
      </c>
      <c r="I545" s="75">
        <f t="shared" si="162"/>
        <v>8709445.8</v>
      </c>
      <c r="J545" s="75">
        <f t="shared" si="162"/>
        <v>562400.6</v>
      </c>
      <c r="K545" s="75">
        <f t="shared" si="162"/>
        <v>34267.1</v>
      </c>
      <c r="L545" s="75">
        <f t="shared" si="162"/>
        <v>9306113.5</v>
      </c>
      <c r="M545" s="75">
        <f t="shared" si="162"/>
        <v>310866.20000000007</v>
      </c>
      <c r="N545" s="75">
        <f t="shared" si="162"/>
        <v>2250</v>
      </c>
      <c r="O545" s="75">
        <f t="shared" si="162"/>
        <v>9619229.7</v>
      </c>
      <c r="P545" s="63">
        <f t="shared" si="162"/>
        <v>0</v>
      </c>
      <c r="Q545" s="41" t="e">
        <f t="shared" si="162"/>
        <v>#REF!</v>
      </c>
    </row>
    <row r="546" spans="1:17" ht="15">
      <c r="A546" s="29" t="s">
        <v>38</v>
      </c>
      <c r="B546" s="29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55"/>
      <c r="Q546" s="53"/>
    </row>
    <row r="547" spans="1:17" ht="15">
      <c r="A547" s="30" t="s">
        <v>69</v>
      </c>
      <c r="B547" s="30"/>
      <c r="C547" s="71">
        <f aca="true" t="shared" si="163" ref="C547:O547">C101+C121+C147+C164+C174+C195+C206+C218+C272+C323+C340+C405+C438+C460+C467+C488+C493+C542+C544+C474+C359</f>
        <v>2841293.8000000003</v>
      </c>
      <c r="D547" s="71">
        <f t="shared" si="163"/>
        <v>-29000</v>
      </c>
      <c r="E547" s="71">
        <f t="shared" si="163"/>
        <v>126119.79999999999</v>
      </c>
      <c r="F547" s="71">
        <f t="shared" si="163"/>
        <v>2938413.6000000006</v>
      </c>
      <c r="G547" s="71">
        <f t="shared" si="163"/>
        <v>4497400.5</v>
      </c>
      <c r="H547" s="71">
        <f t="shared" si="163"/>
        <v>-1674.2999999999993</v>
      </c>
      <c r="I547" s="71">
        <f t="shared" si="163"/>
        <v>7434139.800000001</v>
      </c>
      <c r="J547" s="71">
        <f t="shared" si="163"/>
        <v>503301.30000000016</v>
      </c>
      <c r="K547" s="71">
        <f t="shared" si="163"/>
        <v>10176.199999999999</v>
      </c>
      <c r="L547" s="71">
        <f t="shared" si="163"/>
        <v>7947617.299999999</v>
      </c>
      <c r="M547" s="71">
        <f t="shared" si="163"/>
        <v>202034.30000000005</v>
      </c>
      <c r="N547" s="71">
        <f t="shared" si="163"/>
        <v>2250</v>
      </c>
      <c r="O547" s="71">
        <f t="shared" si="163"/>
        <v>8151901.6</v>
      </c>
      <c r="P547" s="64">
        <f>P101+P121+P147+P164+P174+P195+P206+P218+P272+P323+P340+P405+P438+P460+P467+P488+P493+P542+P544</f>
        <v>0</v>
      </c>
      <c r="Q547" s="42" t="e">
        <f>Q101+Q121+Q147+Q164+Q174+Q195+Q206+Q218+Q272+Q323+Q340+Q405+Q438+Q460+Q467+Q488+Q493+Q542+Q544</f>
        <v>#REF!</v>
      </c>
    </row>
    <row r="548" spans="1:17" ht="15.75" thickBot="1">
      <c r="A548" s="16" t="s">
        <v>75</v>
      </c>
      <c r="B548" s="16"/>
      <c r="C548" s="72">
        <f aca="true" t="shared" si="164" ref="C548:O548">C114+C140+C156+C169+C186+C201+C212+C254+C315+C334+C351+C431+C451+C463+C494+C483+C382</f>
        <v>630600.7000000001</v>
      </c>
      <c r="D548" s="72">
        <f t="shared" si="164"/>
        <v>29000</v>
      </c>
      <c r="E548" s="72">
        <f t="shared" si="164"/>
        <v>426413.6</v>
      </c>
      <c r="F548" s="72">
        <f t="shared" si="164"/>
        <v>1086014.2999999998</v>
      </c>
      <c r="G548" s="72">
        <f t="shared" si="164"/>
        <v>177571.19999999998</v>
      </c>
      <c r="H548" s="72">
        <f t="shared" si="164"/>
        <v>11720.5</v>
      </c>
      <c r="I548" s="72">
        <f t="shared" si="164"/>
        <v>1275306</v>
      </c>
      <c r="J548" s="72">
        <f t="shared" si="164"/>
        <v>59099.299999999996</v>
      </c>
      <c r="K548" s="72">
        <f t="shared" si="164"/>
        <v>24090.899999999998</v>
      </c>
      <c r="L548" s="72">
        <f t="shared" si="164"/>
        <v>1358496.2</v>
      </c>
      <c r="M548" s="72">
        <f t="shared" si="164"/>
        <v>108831.9</v>
      </c>
      <c r="N548" s="72">
        <f t="shared" si="164"/>
        <v>0</v>
      </c>
      <c r="O548" s="72">
        <f t="shared" si="164"/>
        <v>1467328.0999999999</v>
      </c>
      <c r="P548" s="65">
        <f>P114+P140+P156+P169+P186+P201+P212+P254+P315+P334+P351+P431+P451+P463+P494</f>
        <v>0</v>
      </c>
      <c r="Q548" s="43">
        <f>Q114+Q140+Q156+Q169+Q186+Q201+Q212+Q254+Q315+Q334+Q351+Q431+Q451+Q463+Q494</f>
        <v>424660.2</v>
      </c>
    </row>
    <row r="549" spans="1:17" ht="15">
      <c r="A549" s="29" t="s">
        <v>178</v>
      </c>
      <c r="B549" s="29"/>
      <c r="C549" s="77">
        <f>SUM(C551:C554)</f>
        <v>137500</v>
      </c>
      <c r="D549" s="77">
        <f>SUM(D551:D554)</f>
        <v>0</v>
      </c>
      <c r="E549" s="77">
        <f>SUM(E551:E554)</f>
        <v>552533.4</v>
      </c>
      <c r="F549" s="77">
        <f>SUM(F551:F554)</f>
        <v>690033.4</v>
      </c>
      <c r="G549" s="77">
        <f aca="true" t="shared" si="165" ref="G549:Q549">SUM(G551:G554)</f>
        <v>213894.2</v>
      </c>
      <c r="H549" s="77">
        <f t="shared" si="165"/>
        <v>12536.3</v>
      </c>
      <c r="I549" s="77">
        <f t="shared" si="165"/>
        <v>916463.9000000001</v>
      </c>
      <c r="J549" s="77">
        <f t="shared" si="165"/>
        <v>55622.200000000004</v>
      </c>
      <c r="K549" s="77">
        <f t="shared" si="165"/>
        <v>21639.9</v>
      </c>
      <c r="L549" s="77">
        <f t="shared" si="165"/>
        <v>993726.0000000001</v>
      </c>
      <c r="M549" s="77">
        <f t="shared" si="165"/>
        <v>0</v>
      </c>
      <c r="N549" s="77">
        <f t="shared" si="165"/>
        <v>0</v>
      </c>
      <c r="O549" s="77">
        <f t="shared" si="165"/>
        <v>993726.0000000001</v>
      </c>
      <c r="P549" s="66">
        <f t="shared" si="165"/>
        <v>0</v>
      </c>
      <c r="Q549" s="5">
        <f t="shared" si="165"/>
        <v>993726.0000000001</v>
      </c>
    </row>
    <row r="550" spans="1:17" ht="12.75" customHeight="1">
      <c r="A550" s="31" t="s">
        <v>38</v>
      </c>
      <c r="B550" s="31"/>
      <c r="C550" s="78"/>
      <c r="D550" s="78"/>
      <c r="E550" s="78"/>
      <c r="F550" s="79"/>
      <c r="G550" s="78"/>
      <c r="H550" s="78"/>
      <c r="I550" s="79"/>
      <c r="J550" s="78"/>
      <c r="K550" s="78"/>
      <c r="L550" s="79"/>
      <c r="M550" s="78"/>
      <c r="N550" s="78"/>
      <c r="O550" s="79"/>
      <c r="P550" s="55"/>
      <c r="Q550" s="53"/>
    </row>
    <row r="551" spans="1:17" ht="13.5">
      <c r="A551" s="31" t="s">
        <v>179</v>
      </c>
      <c r="B551" s="31"/>
      <c r="C551" s="79">
        <v>300000</v>
      </c>
      <c r="D551" s="79"/>
      <c r="E551" s="79"/>
      <c r="F551" s="79">
        <f>SUM(C551:E551)</f>
        <v>300000</v>
      </c>
      <c r="G551" s="79"/>
      <c r="H551" s="79"/>
      <c r="I551" s="79">
        <f>SUM(F551:H551)</f>
        <v>300000</v>
      </c>
      <c r="J551" s="79"/>
      <c r="K551" s="79"/>
      <c r="L551" s="79">
        <f>SUM(I551:K551)</f>
        <v>300000</v>
      </c>
      <c r="M551" s="79"/>
      <c r="N551" s="79"/>
      <c r="O551" s="79">
        <f>SUM(L551:N551)</f>
        <v>300000</v>
      </c>
      <c r="P551" s="55"/>
      <c r="Q551" s="53">
        <f t="shared" si="151"/>
        <v>300000</v>
      </c>
    </row>
    <row r="552" spans="1:17" ht="13.5">
      <c r="A552" s="31" t="s">
        <v>188</v>
      </c>
      <c r="B552" s="31"/>
      <c r="C552" s="79">
        <v>-162500</v>
      </c>
      <c r="D552" s="79"/>
      <c r="E552" s="79"/>
      <c r="F552" s="79">
        <f>SUM(C552:E552)</f>
        <v>-162500</v>
      </c>
      <c r="G552" s="79"/>
      <c r="H552" s="79"/>
      <c r="I552" s="79">
        <f>SUM(F552:H552)</f>
        <v>-162500</v>
      </c>
      <c r="J552" s="79"/>
      <c r="K552" s="79"/>
      <c r="L552" s="79">
        <f>SUM(I552:K552)</f>
        <v>-162500</v>
      </c>
      <c r="M552" s="79"/>
      <c r="N552" s="79"/>
      <c r="O552" s="79">
        <f>SUM(L552:N552)</f>
        <v>-162500</v>
      </c>
      <c r="P552" s="55"/>
      <c r="Q552" s="53">
        <f t="shared" si="151"/>
        <v>-162500</v>
      </c>
    </row>
    <row r="553" spans="1:17" ht="13.5">
      <c r="A553" s="31" t="s">
        <v>180</v>
      </c>
      <c r="B553" s="31"/>
      <c r="C553" s="79"/>
      <c r="D553" s="79"/>
      <c r="E553" s="79">
        <f>552611.3-77.9</f>
        <v>552533.4</v>
      </c>
      <c r="F553" s="79">
        <f>SUM(C553:E553)</f>
        <v>552533.4</v>
      </c>
      <c r="G553" s="79">
        <f>1008+1158.1+1345.3+1720+10000+9394.8+252.7+170.2+40425.6+3130.4+4132.8+4618.4+1500+351+835.8+17191.9+100000+16648.7+4.1+0.4+0.2+5.8</f>
        <v>213894.2</v>
      </c>
      <c r="H553" s="79">
        <f>12303.4+232.9</f>
        <v>12536.3</v>
      </c>
      <c r="I553" s="79">
        <f>SUM(F553:H553)</f>
        <v>778963.9000000001</v>
      </c>
      <c r="J553" s="79">
        <f>1769.9+400+52970+356+126.3</f>
        <v>55622.200000000004</v>
      </c>
      <c r="K553" s="79">
        <f>21639.9-755.3+23.3</f>
        <v>20907.9</v>
      </c>
      <c r="L553" s="79">
        <f>SUM(I553:K553)</f>
        <v>855494.0000000001</v>
      </c>
      <c r="M553" s="79"/>
      <c r="N553" s="79"/>
      <c r="O553" s="79">
        <f>SUM(L553:N553)</f>
        <v>855494.0000000001</v>
      </c>
      <c r="P553" s="55"/>
      <c r="Q553" s="53">
        <f t="shared" si="151"/>
        <v>855494.0000000001</v>
      </c>
    </row>
    <row r="554" spans="1:17" ht="15.75" thickBot="1">
      <c r="A554" s="37" t="s">
        <v>230</v>
      </c>
      <c r="B554" s="37"/>
      <c r="C554" s="86"/>
      <c r="D554" s="80"/>
      <c r="E554" s="80"/>
      <c r="F554" s="80">
        <f>SUM(C554:E554)</f>
        <v>0</v>
      </c>
      <c r="G554" s="80"/>
      <c r="H554" s="80"/>
      <c r="I554" s="80">
        <f>SUM(F554:H554)</f>
        <v>0</v>
      </c>
      <c r="J554" s="80">
        <v>0</v>
      </c>
      <c r="K554" s="80">
        <f>755.3-23.3</f>
        <v>732</v>
      </c>
      <c r="L554" s="80">
        <f>SUM(I554:K554)</f>
        <v>732</v>
      </c>
      <c r="M554" s="80"/>
      <c r="N554" s="80"/>
      <c r="O554" s="80">
        <f>SUM(L554:N554)</f>
        <v>732</v>
      </c>
      <c r="P554" s="67"/>
      <c r="Q554" s="54">
        <f t="shared" si="151"/>
        <v>732</v>
      </c>
    </row>
    <row r="555" spans="3:17" ht="12.75">
      <c r="C555" s="36">
        <f aca="true" t="shared" si="166" ref="C555:Q555">C98+C549-C545</f>
        <v>0</v>
      </c>
      <c r="D555" s="36">
        <f t="shared" si="166"/>
        <v>0</v>
      </c>
      <c r="E555" s="36">
        <f t="shared" si="166"/>
        <v>0</v>
      </c>
      <c r="F555" s="36">
        <f t="shared" si="166"/>
        <v>0</v>
      </c>
      <c r="G555" s="36">
        <f t="shared" si="166"/>
        <v>0</v>
      </c>
      <c r="H555" s="36">
        <f t="shared" si="166"/>
        <v>0</v>
      </c>
      <c r="I555" s="36">
        <f t="shared" si="166"/>
        <v>0</v>
      </c>
      <c r="J555" s="36">
        <f t="shared" si="166"/>
        <v>0</v>
      </c>
      <c r="K555" s="36">
        <f t="shared" si="166"/>
        <v>0</v>
      </c>
      <c r="L555" s="36">
        <f t="shared" si="166"/>
        <v>0</v>
      </c>
      <c r="M555" s="36">
        <f t="shared" si="166"/>
        <v>0</v>
      </c>
      <c r="N555" s="36">
        <f t="shared" si="166"/>
        <v>0</v>
      </c>
      <c r="O555" s="36">
        <f t="shared" si="166"/>
        <v>0</v>
      </c>
      <c r="P555" s="36">
        <f t="shared" si="166"/>
        <v>0</v>
      </c>
      <c r="Q555" s="36" t="e">
        <f t="shared" si="166"/>
        <v>#REF!</v>
      </c>
    </row>
    <row r="556" ht="12.75">
      <c r="P556" s="36"/>
    </row>
    <row r="557" ht="12.75">
      <c r="P557" s="36"/>
    </row>
    <row r="558" ht="12.75">
      <c r="P558" s="36"/>
    </row>
    <row r="559" ht="12.75">
      <c r="P559" s="36"/>
    </row>
    <row r="560" ht="12.75">
      <c r="P560" s="36"/>
    </row>
    <row r="561" ht="12.75">
      <c r="P561" s="36"/>
    </row>
    <row r="562" ht="12.75">
      <c r="P562" s="36"/>
    </row>
    <row r="563" ht="12.75">
      <c r="P563" s="36"/>
    </row>
    <row r="564" ht="12.75">
      <c r="P564" s="36"/>
    </row>
    <row r="565" ht="12.75">
      <c r="P565" s="36"/>
    </row>
    <row r="566" ht="12.75">
      <c r="P566" s="36"/>
    </row>
    <row r="567" ht="12.75">
      <c r="P567" s="36"/>
    </row>
    <row r="568" ht="12.75">
      <c r="P568" s="36"/>
    </row>
    <row r="569" ht="12.75">
      <c r="P569" s="36"/>
    </row>
    <row r="570" ht="12.75">
      <c r="P570" s="36"/>
    </row>
    <row r="571" ht="12.75">
      <c r="P571" s="36"/>
    </row>
    <row r="572" ht="12.75">
      <c r="P572" s="36"/>
    </row>
    <row r="573" ht="12.75">
      <c r="P573" s="36"/>
    </row>
    <row r="574" ht="12.75">
      <c r="P574" s="36"/>
    </row>
    <row r="575" ht="12.75">
      <c r="P575" s="36"/>
    </row>
    <row r="576" ht="12.75">
      <c r="P576" s="36"/>
    </row>
    <row r="577" ht="12.75">
      <c r="P577" s="36"/>
    </row>
    <row r="578" ht="12.75">
      <c r="P578" s="36"/>
    </row>
    <row r="579" ht="12.75">
      <c r="P579" s="36"/>
    </row>
    <row r="580" ht="12.75">
      <c r="P580" s="36"/>
    </row>
    <row r="581" ht="12.75">
      <c r="P581" s="36"/>
    </row>
    <row r="582" ht="12.75">
      <c r="P582" s="36"/>
    </row>
    <row r="583" ht="12.75">
      <c r="P583" s="36"/>
    </row>
    <row r="584" ht="12.75">
      <c r="P584" s="36"/>
    </row>
    <row r="585" ht="12.75">
      <c r="P585" s="36"/>
    </row>
    <row r="586" ht="12.75">
      <c r="P586" s="36"/>
    </row>
    <row r="587" ht="12.75">
      <c r="P587" s="3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874015748031497" bottom="0.7874015748031497" header="0.5118110236220472" footer="0.31496062992125984"/>
  <pageSetup horizontalDpi="600" verticalDpi="600" orientation="portrait" paperSize="9" scale="84" r:id="rId1"/>
  <headerFooter alignWithMargins="0">
    <oddFooter>&amp;CStránka &amp;P</oddFooter>
  </headerFooter>
  <rowBreaks count="6" manualBreakCount="6">
    <brk id="90" max="255" man="1"/>
    <brk id="171" max="14" man="1"/>
    <brk id="253" max="14" man="1"/>
    <brk id="347" max="14" man="1"/>
    <brk id="436" max="14" man="1"/>
    <brk id="5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Ivana Nesvačilová</cp:lastModifiedBy>
  <cp:lastPrinted>2013-09-10T05:55:43Z</cp:lastPrinted>
  <dcterms:created xsi:type="dcterms:W3CDTF">2009-01-05T12:05:07Z</dcterms:created>
  <dcterms:modified xsi:type="dcterms:W3CDTF">2013-09-13T06:36:45Z</dcterms:modified>
  <cp:category/>
  <cp:version/>
  <cp:contentType/>
  <cp:contentStatus/>
</cp:coreProperties>
</file>