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3.ZR" sheetId="1" r:id="rId1"/>
  </sheets>
  <definedNames>
    <definedName name="_xlnm.Print_Titles" localSheetId="0">'3.ZR'!$8:$9</definedName>
    <definedName name="Z_39FD50E0_9911_4D32_8842_5A58F13D310F_.wvu.Cols" localSheetId="0" hidden="1">'3.ZR'!$C:$J,'3.ZR'!$M:$M,'3.ZR'!#REF!</definedName>
    <definedName name="Z_39FD50E0_9911_4D32_8842_5A58F13D310F_.wvu.PrintTitles" localSheetId="0" hidden="1">'3.ZR'!$8:$9</definedName>
    <definedName name="Z_39FD50E0_9911_4D32_8842_5A58F13D310F_.wvu.Rows" localSheetId="0" hidden="1">'3.ZR'!$297:$297</definedName>
  </definedNames>
  <calcPr fullCalcOnLoad="1"/>
</workbook>
</file>

<file path=xl/sharedStrings.xml><?xml version="1.0" encoding="utf-8"?>
<sst xmlns="http://schemas.openxmlformats.org/spreadsheetml/2006/main" count="471" uniqueCount="285">
  <si>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</si>
  <si>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</si>
  <si>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</si>
  <si>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</si>
  <si>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</si>
  <si>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</si>
  <si>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</si>
  <si>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</si>
  <si>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</si>
  <si>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</si>
  <si>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</si>
  <si>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</si>
  <si>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</si>
  <si>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</si>
  <si>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</si>
  <si>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</si>
  <si>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</si>
  <si>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</si>
  <si>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</si>
  <si>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</si>
  <si>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</si>
  <si>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</si>
  <si>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</si>
  <si>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</si>
  <si>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</si>
  <si>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</si>
  <si>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 xml:space="preserve">platby za odebr. mn.podzemní vody </t>
  </si>
  <si>
    <t>nedaňové příjmy odvětví školství</t>
  </si>
  <si>
    <t>nedaňové příjmy odv.evropské integrace</t>
  </si>
  <si>
    <t>nedaňové příjmy odv.zdravotnictví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</si>
  <si>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</si>
  <si>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</si>
  <si>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</si>
  <si>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</si>
  <si>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</si>
  <si>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</si>
  <si>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</si>
  <si>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</si>
  <si>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</si>
  <si>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</si>
  <si>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</si>
  <si>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</si>
  <si>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</si>
  <si>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</si>
  <si>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</si>
  <si>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</si>
  <si>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</si>
  <si>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</si>
  <si>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</si>
  <si>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</si>
  <si>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</si>
  <si>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</si>
  <si>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</si>
  <si>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</si>
  <si>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</si>
  <si>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</si>
  <si>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</si>
  <si>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</si>
  <si>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</si>
  <si>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</si>
  <si>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</si>
  <si>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</si>
  <si>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</si>
  <si>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</si>
  <si>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</si>
  <si>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</si>
  <si>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</si>
  <si>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</si>
  <si>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</si>
  <si>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</si>
  <si>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</si>
  <si>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</si>
  <si>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</si>
  <si>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</si>
  <si>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</si>
  <si>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</si>
  <si>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</si>
  <si>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</si>
  <si>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</si>
  <si>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</si>
  <si>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</si>
  <si>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</si>
  <si>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</si>
  <si>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</si>
  <si>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</si>
  <si>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</si>
  <si>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</si>
  <si>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</si>
  <si>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</si>
  <si>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</si>
  <si>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</si>
  <si>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</si>
  <si>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</si>
  <si>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</si>
  <si>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</si>
  <si>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</si>
  <si>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</si>
  <si>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</si>
  <si>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</si>
  <si>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</si>
  <si>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</si>
  <si>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</si>
  <si>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</si>
  <si>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</si>
  <si>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</si>
  <si>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</si>
  <si>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</si>
  <si>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</si>
  <si>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</si>
  <si>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</si>
  <si>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</si>
  <si>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</si>
  <si>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</si>
  <si>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</si>
  <si>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</si>
  <si>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</si>
  <si>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</si>
  <si>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</si>
  <si>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</si>
  <si>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</si>
  <si>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</si>
  <si>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</si>
  <si>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</si>
  <si>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</si>
  <si>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</si>
  <si>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</si>
  <si>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</si>
  <si>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</si>
  <si>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</si>
  <si>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</si>
  <si>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</si>
  <si>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</si>
  <si>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</si>
  <si>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</si>
  <si>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</si>
  <si>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</si>
  <si>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</si>
  <si>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</si>
  <si>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</si>
  <si>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</si>
  <si>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</si>
  <si>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</si>
  <si>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</si>
  <si>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</si>
  <si>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</si>
  <si>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</si>
  <si>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</si>
  <si>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</si>
  <si>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</si>
  <si>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</si>
  <si>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</si>
  <si>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</si>
  <si>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</si>
  <si>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</si>
  <si>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</si>
  <si>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</si>
  <si>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</si>
  <si>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</si>
  <si>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</si>
  <si>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</si>
  <si>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</si>
  <si>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</si>
  <si>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</si>
  <si>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</si>
  <si>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</si>
  <si>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</si>
  <si>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</si>
  <si>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</si>
  <si>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</si>
  <si>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</si>
  <si>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</si>
  <si>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</si>
  <si>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</si>
  <si>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</si>
  <si>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</si>
  <si>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</si>
  <si>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</si>
  <si>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</si>
  <si>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</si>
  <si>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</si>
  <si>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</si>
  <si>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</si>
  <si>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</si>
  <si>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</si>
  <si>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</si>
  <si>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</si>
  <si>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</si>
  <si>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</si>
  <si>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</si>
  <si>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</si>
  <si>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</si>
  <si>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</si>
  <si>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</si>
  <si>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</si>
  <si>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</si>
  <si>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</si>
  <si>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</si>
  <si>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</si>
  <si>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</si>
  <si>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</si>
  <si>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</si>
  <si>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</si>
  <si>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</si>
  <si>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</si>
  <si>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</si>
  <si>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</si>
  <si>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</si>
  <si>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</si>
  <si>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</si>
  <si>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</si>
  <si>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</si>
  <si>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</si>
  <si>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</si>
  <si>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</si>
  <si>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</si>
  <si>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</si>
  <si>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</si>
  <si>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</si>
  <si>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</si>
  <si>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</si>
  <si>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NA ROK 2010</t>
  </si>
  <si>
    <t>neinvestiční půjčené prostředky PO</t>
  </si>
  <si>
    <t>prům.zóna Solnice-Kvasiny-ostat.kap.výd.</t>
  </si>
  <si>
    <t>splátky úvěru</t>
  </si>
  <si>
    <t>GG 1.1.OPVK-Zvyšování kvality ve vzděl.- SR r.2009</t>
  </si>
  <si>
    <t>GG 1.2.OPVK-Rovné příl.dětí a ž.se sp.potř.-SR r.2009</t>
  </si>
  <si>
    <t>GG1.3.OPVK-Další vzděl.prac.škol a zař. - SR r.2009</t>
  </si>
  <si>
    <t>FM EHP/Norska - CZ-0037 z r.2009- SR</t>
  </si>
  <si>
    <t xml:space="preserve">  z toho: Centrum EP, PO</t>
  </si>
  <si>
    <t xml:space="preserve">  v tom pro odvětví: životní prostředí a zemědělství</t>
  </si>
  <si>
    <t>GG 1.1.OPVK-Zvyšování kvality ve vzdělávání - SR r.2009</t>
  </si>
  <si>
    <t>GG 1.2.OPVK-Rovné přílež.dětí a ž.se sp.potř.- SRr.2009</t>
  </si>
  <si>
    <t>OPLZZ Vzd.poskyt.a zadavat. soc.sl.KHK III.- SR r.2009</t>
  </si>
  <si>
    <t>OP LZZ Rozvoj dostup.a kvality soc.sl.v KHK - SR r.2009</t>
  </si>
  <si>
    <t>OP LZZ Služby soc.prevence v KHK - SR r. 2009</t>
  </si>
  <si>
    <t>OP LZZ Podpora soc.integr.obyv.vylouč.lok.v KHK - SR</t>
  </si>
  <si>
    <t>OPVK-rozvoj kompet.říd.prac.škol v KHK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</si>
  <si>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</si>
  <si>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</si>
  <si>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</si>
  <si>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</si>
  <si>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</si>
  <si>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</si>
  <si>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</si>
  <si>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</si>
  <si>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</si>
  <si>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</si>
  <si>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</si>
  <si>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</si>
  <si>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</si>
  <si>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OP LZZ Podpora soc.integr.obyv.vylouč.lok.v KHK - SR r.2009</t>
  </si>
  <si>
    <t>grant. a dílčí progr.a samost.projekty - odvětví cestovní ruch</t>
  </si>
  <si>
    <t>investiční transfery PO - Centrum EP</t>
  </si>
  <si>
    <t>projekt Přístavba Muzea války 1866 na Chlumu - RRRS SV</t>
  </si>
  <si>
    <t>investiční půjčené prostředky obcím</t>
  </si>
  <si>
    <t>OPVK-spolupr.VOŠ,VŠ a zam.při vzděl.prog.zdrav.VOŠ-SR</t>
  </si>
  <si>
    <t>projekty RRRS SV</t>
  </si>
  <si>
    <t>OPVK-Zvyš.kval.vzděl.zlepšováním říd.procesů ve školách-SR</t>
  </si>
  <si>
    <t>OPVK-Cizí jazyky v podm.Společ.evr.refer.rámce - SR</t>
  </si>
  <si>
    <t>krajský program prevence kriminality - SR</t>
  </si>
  <si>
    <t>volby do Poslanecké sněmovny Parlamentu ČR - SR</t>
  </si>
  <si>
    <t>prům.zóna Solnice-Kvasiny - SR</t>
  </si>
  <si>
    <t>zapojení zůstatku sociálního fondu z min. let</t>
  </si>
  <si>
    <t>školní vybavení pro žáky 1.ročníku zákl.vzdělávání - SR</t>
  </si>
  <si>
    <t>grant. a dílčí progr.a samost.projekty - odvětví reg.rozvoj</t>
  </si>
  <si>
    <t>OP VK 5.1. - Techn.zajištění, hodnotitelé,mzdy - SR r. 2009</t>
  </si>
  <si>
    <t>OP VK 5. 2. - Publicita a informovanost - SR r. 2009</t>
  </si>
  <si>
    <t>OP VK 5.3. - Podpora tvorby a přípravy projektů - SR r. 2009</t>
  </si>
  <si>
    <t>OP LZZ - vzdělávání  v eGON centrech krajů - SR</t>
  </si>
  <si>
    <t>grant. a dílčí progr.a samost.projekty - odvětví životní prostředí</t>
  </si>
  <si>
    <t>peněžitý vklad do a.s.</t>
  </si>
  <si>
    <t>kap. 49 - Regionální inovační fond</t>
  </si>
  <si>
    <t xml:space="preserve">  ze SFŽP</t>
  </si>
  <si>
    <t xml:space="preserve">  z MŽP</t>
  </si>
  <si>
    <t>podpora v rámci programu OPŽP - SR</t>
  </si>
  <si>
    <t>OP - Přeshraniční spolupráce - SR</t>
  </si>
  <si>
    <t>úhrada odměn za čekání řidičů mezi spoji - SR</t>
  </si>
  <si>
    <t>refundace výdajů na výkupy pozemků - SR</t>
  </si>
  <si>
    <t>projekt LABEL - dotace ze zahraničí</t>
  </si>
  <si>
    <t>inkluzívní vzděl.a vzděl.žáků se sociok.znevýh. - SR</t>
  </si>
  <si>
    <t>odstranění havar.stavu ozdravoven - SR</t>
  </si>
  <si>
    <t>Česko-polský inovační portál - SR</t>
  </si>
  <si>
    <t>nedaňové příjmy odvětví cestovního ruchu</t>
  </si>
  <si>
    <t>OP LZZ - zvýšení kvality řízení v úřadech úz.veř.správy-SR</t>
  </si>
  <si>
    <t>dotace posk.prostř.čerpacích účtů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</si>
</sst>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2" xfId="38" applyNumberFormat="1" applyFont="1" applyBorder="1" applyAlignment="1">
      <alignment vertical="center"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0" fillId="0" borderId="33" xfId="0" applyBorder="1" applyAlignment="1">
      <alignment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4" xfId="0" applyBorder="1" applyAlignment="1">
      <alignment/>
    </xf>
    <xf numFmtId="3" fontId="0" fillId="0" borderId="33" xfId="0" applyFont="1" applyBorder="1" applyAlignment="1">
      <alignment/>
    </xf>
    <xf numFmtId="3" fontId="2" fillId="0" borderId="35" xfId="0" applyFont="1" applyBorder="1" applyAlignment="1">
      <alignment vertical="center"/>
    </xf>
    <xf numFmtId="3" fontId="6" fillId="0" borderId="33" xfId="0" applyFont="1" applyBorder="1" applyAlignment="1">
      <alignment/>
    </xf>
    <xf numFmtId="3" fontId="6" fillId="0" borderId="33" xfId="0" applyFont="1" applyBorder="1" applyAlignment="1">
      <alignment/>
    </xf>
    <xf numFmtId="3" fontId="0" fillId="0" borderId="34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4" fillId="0" borderId="33" xfId="0" applyFont="1" applyFill="1" applyBorder="1" applyAlignment="1">
      <alignment/>
    </xf>
    <xf numFmtId="3" fontId="0" fillId="0" borderId="33" xfId="0" applyFill="1" applyBorder="1" applyAlignment="1">
      <alignment/>
    </xf>
    <xf numFmtId="3" fontId="4" fillId="0" borderId="35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0" fillId="0" borderId="33" xfId="0" applyFont="1" applyBorder="1" applyAlignment="1">
      <alignment vertical="center"/>
    </xf>
    <xf numFmtId="3" fontId="0" fillId="0" borderId="33" xfId="0" applyBorder="1" applyAlignment="1">
      <alignment vertical="center"/>
    </xf>
    <xf numFmtId="3" fontId="0" fillId="0" borderId="35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3" xfId="0" applyFont="1" applyBorder="1" applyAlignment="1">
      <alignment/>
    </xf>
    <xf numFmtId="3" fontId="4" fillId="0" borderId="33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7" xfId="38" applyNumberFormat="1" applyFont="1" applyBorder="1" applyAlignment="1">
      <alignment vertical="center"/>
    </xf>
    <xf numFmtId="166" fontId="4" fillId="0" borderId="37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3" fillId="0" borderId="31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2" fillId="0" borderId="31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/>
    </xf>
    <xf numFmtId="166" fontId="4" fillId="0" borderId="4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31" xfId="0" applyFont="1" applyBorder="1" applyAlignment="1">
      <alignment/>
    </xf>
    <xf numFmtId="165" fontId="4" fillId="0" borderId="42" xfId="38" applyNumberFormat="1" applyFont="1" applyBorder="1" applyAlignment="1">
      <alignment horizontal="center"/>
    </xf>
    <xf numFmtId="165" fontId="4" fillId="0" borderId="43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5" xfId="38" applyNumberFormat="1" applyFont="1" applyBorder="1" applyAlignment="1">
      <alignment/>
    </xf>
    <xf numFmtId="166" fontId="2" fillId="0" borderId="43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7" fillId="0" borderId="15" xfId="38" applyNumberFormat="1" applyFont="1" applyBorder="1" applyAlignment="1">
      <alignment/>
    </xf>
    <xf numFmtId="3" fontId="0" fillId="0" borderId="44" xfId="0" applyBorder="1" applyAlignment="1">
      <alignment/>
    </xf>
    <xf numFmtId="3" fontId="0" fillId="0" borderId="39" xfId="0" applyBorder="1" applyAlignment="1">
      <alignment/>
    </xf>
    <xf numFmtId="166" fontId="8" fillId="0" borderId="13" xfId="38" applyNumberFormat="1" applyFont="1" applyBorder="1" applyAlignment="1">
      <alignment vertical="center"/>
    </xf>
    <xf numFmtId="3" fontId="0" fillId="0" borderId="23" xfId="0" applyBorder="1" applyAlignment="1">
      <alignment/>
    </xf>
    <xf numFmtId="3" fontId="7" fillId="0" borderId="34" xfId="0" applyFont="1" applyBorder="1" applyAlignment="1">
      <alignment/>
    </xf>
    <xf numFmtId="166" fontId="4" fillId="0" borderId="45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6" fontId="6" fillId="0" borderId="0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31" xfId="38" applyNumberFormat="1" applyFont="1" applyBorder="1" applyAlignment="1">
      <alignment/>
    </xf>
    <xf numFmtId="3" fontId="5" fillId="0" borderId="22" xfId="0" applyFont="1" applyBorder="1" applyAlignment="1">
      <alignment/>
    </xf>
    <xf numFmtId="166" fontId="2" fillId="0" borderId="44" xfId="38" applyNumberFormat="1" applyFont="1" applyBorder="1" applyAlignment="1">
      <alignment vertical="center"/>
    </xf>
    <xf numFmtId="166" fontId="0" fillId="0" borderId="10" xfId="38" applyNumberFormat="1" applyFont="1" applyFill="1" applyBorder="1" applyAlignment="1">
      <alignment/>
    </xf>
    <xf numFmtId="166" fontId="8" fillId="0" borderId="31" xfId="38" applyNumberFormat="1" applyFont="1" applyBorder="1" applyAlignment="1">
      <alignment vertical="center"/>
    </xf>
    <xf numFmtId="166" fontId="8" fillId="0" borderId="39" xfId="38" applyNumberFormat="1" applyFont="1" applyBorder="1" applyAlignment="1">
      <alignment vertical="center"/>
    </xf>
    <xf numFmtId="3" fontId="0" fillId="0" borderId="12" xfId="0" applyBorder="1" applyAlignment="1">
      <alignment/>
    </xf>
    <xf numFmtId="166" fontId="6" fillId="0" borderId="13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4" fillId="0" borderId="46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6" fontId="0" fillId="0" borderId="47" xfId="38" applyNumberFormat="1" applyFont="1" applyBorder="1" applyAlignment="1">
      <alignment/>
    </xf>
    <xf numFmtId="166" fontId="7" fillId="0" borderId="28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7" fillId="0" borderId="29" xfId="38" applyNumberFormat="1" applyFont="1" applyBorder="1" applyAlignment="1">
      <alignment/>
    </xf>
    <xf numFmtId="166" fontId="7" fillId="0" borderId="14" xfId="38" applyNumberFormat="1" applyFont="1" applyBorder="1" applyAlignment="1">
      <alignment/>
    </xf>
    <xf numFmtId="166" fontId="3" fillId="0" borderId="48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3" fontId="0" fillId="0" borderId="49" xfId="0" applyBorder="1" applyAlignment="1">
      <alignment/>
    </xf>
    <xf numFmtId="166" fontId="3" fillId="0" borderId="13" xfId="38" applyNumberFormat="1" applyFont="1" applyBorder="1" applyAlignment="1">
      <alignment vertical="center"/>
    </xf>
    <xf numFmtId="166" fontId="3" fillId="0" borderId="49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166" fontId="8" fillId="0" borderId="49" xfId="38" applyNumberFormat="1" applyFont="1" applyBorder="1" applyAlignment="1">
      <alignment vertical="center"/>
    </xf>
    <xf numFmtId="165" fontId="4" fillId="0" borderId="48" xfId="38" applyNumberFormat="1" applyFont="1" applyBorder="1" applyAlignment="1">
      <alignment horizontal="center"/>
    </xf>
    <xf numFmtId="165" fontId="4" fillId="0" borderId="49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2" fillId="0" borderId="49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50" xfId="38" applyNumberFormat="1" applyFont="1" applyBorder="1" applyAlignment="1">
      <alignment/>
    </xf>
    <xf numFmtId="166" fontId="7" fillId="0" borderId="13" xfId="38" applyNumberFormat="1" applyFont="1" applyBorder="1" applyAlignment="1">
      <alignment/>
    </xf>
    <xf numFmtId="166" fontId="7" fillId="0" borderId="50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12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6" xfId="0" applyFont="1" applyBorder="1" applyAlignment="1">
      <alignment horizontal="center" vertical="center"/>
    </xf>
    <xf numFmtId="3" fontId="0" fillId="0" borderId="3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8"/>
  <sheetViews>
    <sheetView tabSelected="1" zoomScalePageLayoutView="0"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73" sqref="I73"/>
    </sheetView>
  </sheetViews>
  <sheetFormatPr defaultColWidth="9.00390625" defaultRowHeight="12.75"/>
  <cols>
    <col min="1" max="1" width="43.75390625" style="0" customWidth="1"/>
    <col min="2" max="2" width="14.125" style="0" customWidth="1"/>
    <col min="3" max="3" width="15.75390625" style="0" hidden="1" customWidth="1"/>
    <col min="4" max="4" width="14.25390625" style="0" hidden="1" customWidth="1"/>
    <col min="5" max="6" width="13.625" style="0" hidden="1" customWidth="1"/>
    <col min="7" max="7" width="12.875" style="0" hidden="1" customWidth="1"/>
    <col min="8" max="8" width="13.875" style="0" customWidth="1"/>
    <col min="9" max="9" width="13.625" style="0" customWidth="1"/>
    <col min="10" max="10" width="13.75390625" style="0" hidden="1" customWidth="1"/>
    <col min="11" max="11" width="15.875" style="0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11" ht="12.75">
      <c r="B1" s="1"/>
      <c r="C1" s="1"/>
      <c r="D1" s="1"/>
      <c r="E1" s="2"/>
      <c r="K1" s="2" t="s">
        <v>217</v>
      </c>
    </row>
    <row r="2" spans="2:5" ht="12.75">
      <c r="B2" s="1"/>
      <c r="C2" s="1"/>
      <c r="D2" s="1"/>
      <c r="E2" s="2"/>
    </row>
    <row r="3" spans="1:14" ht="15.75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.75">
      <c r="A4" s="178" t="s">
        <v>220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15">
      <c r="A5" s="179" t="s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12.75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5" ht="16.5" thickBot="1">
      <c r="A7" s="3"/>
      <c r="B7" s="4"/>
      <c r="C7" s="4"/>
      <c r="D7" s="4"/>
      <c r="E7" s="4"/>
    </row>
    <row r="8" spans="1:14" ht="12.75">
      <c r="A8" s="181" t="s">
        <v>3</v>
      </c>
      <c r="B8" s="45" t="s">
        <v>4</v>
      </c>
      <c r="C8" s="46" t="s">
        <v>5</v>
      </c>
      <c r="D8" s="46" t="s">
        <v>6</v>
      </c>
      <c r="E8" s="47" t="s">
        <v>7</v>
      </c>
      <c r="F8" s="45" t="s">
        <v>8</v>
      </c>
      <c r="G8" s="122" t="s">
        <v>6</v>
      </c>
      <c r="H8" s="163" t="s">
        <v>7</v>
      </c>
      <c r="I8" s="46" t="s">
        <v>9</v>
      </c>
      <c r="J8" s="46" t="s">
        <v>6</v>
      </c>
      <c r="K8" s="47" t="s">
        <v>7</v>
      </c>
      <c r="L8" s="45" t="s">
        <v>10</v>
      </c>
      <c r="M8" s="46" t="s">
        <v>6</v>
      </c>
      <c r="N8" s="47" t="s">
        <v>7</v>
      </c>
    </row>
    <row r="9" spans="1:14" ht="13.5" thickBot="1">
      <c r="A9" s="182"/>
      <c r="B9" s="103" t="s">
        <v>11</v>
      </c>
      <c r="C9" s="104" t="s">
        <v>12</v>
      </c>
      <c r="D9" s="104" t="s">
        <v>13</v>
      </c>
      <c r="E9" s="105" t="s">
        <v>14</v>
      </c>
      <c r="F9" s="103" t="s">
        <v>12</v>
      </c>
      <c r="G9" s="123" t="s">
        <v>13</v>
      </c>
      <c r="H9" s="164" t="s">
        <v>15</v>
      </c>
      <c r="I9" s="104" t="s">
        <v>12</v>
      </c>
      <c r="J9" s="104" t="s">
        <v>13</v>
      </c>
      <c r="K9" s="105" t="s">
        <v>16</v>
      </c>
      <c r="L9" s="48" t="s">
        <v>12</v>
      </c>
      <c r="M9" s="5" t="s">
        <v>13</v>
      </c>
      <c r="N9" s="49" t="s">
        <v>17</v>
      </c>
    </row>
    <row r="10" spans="1:14" ht="12.75">
      <c r="A10" s="101" t="s">
        <v>18</v>
      </c>
      <c r="B10" s="69"/>
      <c r="C10" s="6"/>
      <c r="D10" s="6"/>
      <c r="E10" s="102"/>
      <c r="F10" s="69"/>
      <c r="G10" s="124"/>
      <c r="H10" s="165"/>
      <c r="I10" s="6"/>
      <c r="J10" s="6"/>
      <c r="K10" s="102"/>
      <c r="L10" s="69"/>
      <c r="M10" s="6"/>
      <c r="N10" s="50"/>
    </row>
    <row r="11" spans="1:14" ht="12.75">
      <c r="A11" s="73" t="s">
        <v>19</v>
      </c>
      <c r="B11" s="51">
        <v>2700000</v>
      </c>
      <c r="C11" s="7"/>
      <c r="D11" s="7"/>
      <c r="E11" s="52">
        <f>B11+C11+D11</f>
        <v>2700000</v>
      </c>
      <c r="F11" s="51">
        <f>40747.3+60170</f>
        <v>100917.3</v>
      </c>
      <c r="G11" s="125"/>
      <c r="H11" s="166">
        <f>E11+F11+G11</f>
        <v>2800917.3</v>
      </c>
      <c r="I11" s="7">
        <f>7450+1500+15000+2000+20650</f>
        <v>46600</v>
      </c>
      <c r="J11" s="7"/>
      <c r="K11" s="52">
        <f>H11+I11+J11</f>
        <v>2847517.3</v>
      </c>
      <c r="L11" s="51"/>
      <c r="M11" s="7"/>
      <c r="N11" s="52">
        <f>K11+L11+M11</f>
        <v>2847517.3</v>
      </c>
    </row>
    <row r="12" spans="1:14" ht="12.75">
      <c r="A12" s="74" t="s">
        <v>20</v>
      </c>
      <c r="B12" s="51"/>
      <c r="C12" s="7"/>
      <c r="D12" s="7"/>
      <c r="E12" s="52"/>
      <c r="F12" s="51"/>
      <c r="G12" s="125"/>
      <c r="H12" s="166"/>
      <c r="I12" s="7"/>
      <c r="J12" s="7"/>
      <c r="K12" s="52"/>
      <c r="L12" s="51"/>
      <c r="M12" s="7"/>
      <c r="N12" s="52"/>
    </row>
    <row r="13" spans="1:14" ht="12.75">
      <c r="A13" s="75" t="s">
        <v>21</v>
      </c>
      <c r="B13" s="51"/>
      <c r="C13" s="7"/>
      <c r="D13" s="7"/>
      <c r="E13" s="52"/>
      <c r="F13" s="53">
        <v>40747.3</v>
      </c>
      <c r="G13" s="125"/>
      <c r="H13" s="15">
        <f>E13+F13+G13</f>
        <v>40747.3</v>
      </c>
      <c r="I13" s="8"/>
      <c r="J13" s="7"/>
      <c r="K13" s="54">
        <f>H13+I13+J13</f>
        <v>40747.3</v>
      </c>
      <c r="L13" s="53"/>
      <c r="M13" s="7"/>
      <c r="N13" s="54">
        <f>K13+L13+M13</f>
        <v>40747.3</v>
      </c>
    </row>
    <row r="14" spans="1:14" ht="12.75">
      <c r="A14" s="73" t="s">
        <v>22</v>
      </c>
      <c r="B14" s="51">
        <f>SUM(B16:B28)</f>
        <v>193247</v>
      </c>
      <c r="C14" s="7">
        <f aca="true" t="shared" si="0" ref="C14:N14">SUM(C16:C28)</f>
        <v>9309.2</v>
      </c>
      <c r="D14" s="7">
        <f t="shared" si="0"/>
        <v>2416.4</v>
      </c>
      <c r="E14" s="52">
        <f t="shared" si="0"/>
        <v>204972.6</v>
      </c>
      <c r="F14" s="51">
        <f t="shared" si="0"/>
        <v>47611.8</v>
      </c>
      <c r="G14" s="125">
        <f t="shared" si="0"/>
        <v>2049.5</v>
      </c>
      <c r="H14" s="166">
        <f t="shared" si="0"/>
        <v>254633.9</v>
      </c>
      <c r="I14" s="7">
        <f t="shared" si="0"/>
        <v>467.40000000000146</v>
      </c>
      <c r="J14" s="7">
        <f t="shared" si="0"/>
        <v>0</v>
      </c>
      <c r="K14" s="52">
        <f t="shared" si="0"/>
        <v>255101.3</v>
      </c>
      <c r="L14" s="51">
        <f t="shared" si="0"/>
        <v>0</v>
      </c>
      <c r="M14" s="7">
        <f t="shared" si="0"/>
        <v>0</v>
      </c>
      <c r="N14" s="52">
        <f t="shared" si="0"/>
        <v>254670.90000000002</v>
      </c>
    </row>
    <row r="15" spans="1:14" ht="12.75">
      <c r="A15" s="74" t="s">
        <v>23</v>
      </c>
      <c r="B15" s="51"/>
      <c r="C15" s="7"/>
      <c r="D15" s="7"/>
      <c r="E15" s="52"/>
      <c r="F15" s="51"/>
      <c r="G15" s="125"/>
      <c r="H15" s="166"/>
      <c r="I15" s="7"/>
      <c r="J15" s="7"/>
      <c r="K15" s="52"/>
      <c r="L15" s="51"/>
      <c r="M15" s="7"/>
      <c r="N15" s="52"/>
    </row>
    <row r="16" spans="1:14" ht="12.75">
      <c r="A16" s="75" t="s">
        <v>24</v>
      </c>
      <c r="B16" s="53">
        <v>10000</v>
      </c>
      <c r="C16" s="8"/>
      <c r="D16" s="8"/>
      <c r="E16" s="54">
        <f>B16+C16+D16</f>
        <v>10000</v>
      </c>
      <c r="F16" s="53"/>
      <c r="G16" s="106"/>
      <c r="H16" s="15">
        <f>E16+F16+G16</f>
        <v>10000</v>
      </c>
      <c r="I16" s="8"/>
      <c r="J16" s="8"/>
      <c r="K16" s="54">
        <f>H16+I16+J16</f>
        <v>10000</v>
      </c>
      <c r="L16" s="53"/>
      <c r="M16" s="8"/>
      <c r="N16" s="54">
        <f>K16+L16+M16</f>
        <v>10000</v>
      </c>
    </row>
    <row r="17" spans="1:14" ht="12.75">
      <c r="A17" s="75" t="s">
        <v>25</v>
      </c>
      <c r="B17" s="53"/>
      <c r="C17" s="8"/>
      <c r="D17" s="8">
        <v>720</v>
      </c>
      <c r="E17" s="54">
        <f aca="true" t="shared" si="1" ref="E17:E27">B17+C17+D17</f>
        <v>720</v>
      </c>
      <c r="F17" s="53">
        <v>2000</v>
      </c>
      <c r="G17" s="106">
        <v>950</v>
      </c>
      <c r="H17" s="15">
        <f aca="true" t="shared" si="2" ref="H17:H27">E17+F17+G17</f>
        <v>3670</v>
      </c>
      <c r="I17" s="8"/>
      <c r="J17" s="8"/>
      <c r="K17" s="54">
        <f aca="true" t="shared" si="3" ref="K17:K27">H17+I17+J17</f>
        <v>3670</v>
      </c>
      <c r="L17" s="53"/>
      <c r="M17" s="8"/>
      <c r="N17" s="54">
        <f aca="true" t="shared" si="4" ref="N17:N27">K17+L17+M17</f>
        <v>3670</v>
      </c>
    </row>
    <row r="18" spans="1:14" ht="12.75">
      <c r="A18" s="75" t="s">
        <v>26</v>
      </c>
      <c r="B18" s="53">
        <v>45000</v>
      </c>
      <c r="C18" s="8"/>
      <c r="D18" s="8"/>
      <c r="E18" s="54">
        <f t="shared" si="1"/>
        <v>45000</v>
      </c>
      <c r="F18" s="53"/>
      <c r="G18" s="106"/>
      <c r="H18" s="15">
        <f t="shared" si="2"/>
        <v>45000</v>
      </c>
      <c r="I18" s="8"/>
      <c r="J18" s="8"/>
      <c r="K18" s="54">
        <f t="shared" si="3"/>
        <v>45000</v>
      </c>
      <c r="L18" s="53"/>
      <c r="M18" s="8"/>
      <c r="N18" s="54">
        <f t="shared" si="4"/>
        <v>45000</v>
      </c>
    </row>
    <row r="19" spans="1:14" ht="12.75" hidden="1">
      <c r="A19" s="75" t="s">
        <v>27</v>
      </c>
      <c r="B19" s="53"/>
      <c r="C19" s="8"/>
      <c r="D19" s="8"/>
      <c r="E19" s="54">
        <f t="shared" si="1"/>
        <v>0</v>
      </c>
      <c r="F19" s="53"/>
      <c r="G19" s="106"/>
      <c r="H19" s="15">
        <f t="shared" si="2"/>
        <v>0</v>
      </c>
      <c r="I19" s="8"/>
      <c r="J19" s="8"/>
      <c r="K19" s="54">
        <f t="shared" si="3"/>
        <v>0</v>
      </c>
      <c r="L19" s="53"/>
      <c r="M19" s="8"/>
      <c r="N19" s="54">
        <f t="shared" si="4"/>
        <v>0</v>
      </c>
    </row>
    <row r="20" spans="1:14" ht="12.75">
      <c r="A20" s="75" t="s">
        <v>28</v>
      </c>
      <c r="B20" s="53"/>
      <c r="C20" s="8"/>
      <c r="D20" s="8"/>
      <c r="E20" s="54">
        <f t="shared" si="1"/>
        <v>0</v>
      </c>
      <c r="F20" s="53">
        <v>12.7</v>
      </c>
      <c r="G20" s="106"/>
      <c r="H20" s="15">
        <f t="shared" si="2"/>
        <v>12.7</v>
      </c>
      <c r="I20" s="8"/>
      <c r="J20" s="8"/>
      <c r="K20" s="54">
        <f t="shared" si="3"/>
        <v>12.7</v>
      </c>
      <c r="L20" s="53"/>
      <c r="M20" s="8"/>
      <c r="N20" s="54">
        <f t="shared" si="4"/>
        <v>12.7</v>
      </c>
    </row>
    <row r="21" spans="1:14" ht="12.75" hidden="1">
      <c r="A21" s="75" t="s">
        <v>29</v>
      </c>
      <c r="B21" s="53"/>
      <c r="C21" s="8"/>
      <c r="D21" s="8"/>
      <c r="E21" s="54">
        <f t="shared" si="1"/>
        <v>0</v>
      </c>
      <c r="F21" s="53"/>
      <c r="G21" s="106"/>
      <c r="H21" s="15">
        <f t="shared" si="2"/>
        <v>0</v>
      </c>
      <c r="I21" s="8"/>
      <c r="J21" s="8"/>
      <c r="K21" s="54">
        <f t="shared" si="3"/>
        <v>0</v>
      </c>
      <c r="L21" s="53"/>
      <c r="M21" s="8"/>
      <c r="N21" s="54">
        <f t="shared" si="4"/>
        <v>0</v>
      </c>
    </row>
    <row r="22" spans="1:14" ht="12.75">
      <c r="A22" s="76" t="s">
        <v>30</v>
      </c>
      <c r="B22" s="53">
        <v>60000</v>
      </c>
      <c r="C22" s="8"/>
      <c r="D22" s="8"/>
      <c r="E22" s="54">
        <f t="shared" si="1"/>
        <v>60000</v>
      </c>
      <c r="F22" s="53">
        <f>898.1+19011</f>
        <v>19909.1</v>
      </c>
      <c r="G22" s="106"/>
      <c r="H22" s="15">
        <f t="shared" si="2"/>
        <v>79909.1</v>
      </c>
      <c r="I22" s="8">
        <v>-19011</v>
      </c>
      <c r="J22" s="8"/>
      <c r="K22" s="54">
        <f t="shared" si="3"/>
        <v>60898.100000000006</v>
      </c>
      <c r="L22" s="53"/>
      <c r="M22" s="8"/>
      <c r="N22" s="54">
        <f t="shared" si="4"/>
        <v>60898.100000000006</v>
      </c>
    </row>
    <row r="23" spans="1:14" ht="12.75">
      <c r="A23" s="75" t="s">
        <v>31</v>
      </c>
      <c r="B23" s="53"/>
      <c r="C23" s="8"/>
      <c r="D23" s="8"/>
      <c r="E23" s="54">
        <f t="shared" si="1"/>
        <v>0</v>
      </c>
      <c r="F23" s="53"/>
      <c r="G23" s="106"/>
      <c r="H23" s="15">
        <f t="shared" si="2"/>
        <v>0</v>
      </c>
      <c r="I23" s="8">
        <v>37</v>
      </c>
      <c r="J23" s="8"/>
      <c r="K23" s="54">
        <f t="shared" si="3"/>
        <v>37</v>
      </c>
      <c r="L23" s="53"/>
      <c r="M23" s="8"/>
      <c r="N23" s="54">
        <f t="shared" si="4"/>
        <v>37</v>
      </c>
    </row>
    <row r="24" spans="1:14" ht="12.75">
      <c r="A24" s="76" t="s">
        <v>282</v>
      </c>
      <c r="B24" s="53"/>
      <c r="C24" s="8"/>
      <c r="D24" s="8"/>
      <c r="E24" s="54"/>
      <c r="F24" s="53"/>
      <c r="G24" s="106"/>
      <c r="H24" s="15">
        <f t="shared" si="2"/>
        <v>0</v>
      </c>
      <c r="I24" s="8">
        <v>430.4</v>
      </c>
      <c r="J24" s="8"/>
      <c r="K24" s="54">
        <f t="shared" si="3"/>
        <v>430.4</v>
      </c>
      <c r="L24" s="53"/>
      <c r="M24" s="8"/>
      <c r="N24" s="54"/>
    </row>
    <row r="25" spans="1:14" ht="12.75" hidden="1">
      <c r="A25" s="76" t="s">
        <v>32</v>
      </c>
      <c r="B25" s="53"/>
      <c r="C25" s="8"/>
      <c r="D25" s="8"/>
      <c r="E25" s="54">
        <f t="shared" si="1"/>
        <v>0</v>
      </c>
      <c r="F25" s="53"/>
      <c r="G25" s="106"/>
      <c r="H25" s="15">
        <f t="shared" si="2"/>
        <v>0</v>
      </c>
      <c r="I25" s="8"/>
      <c r="J25" s="8"/>
      <c r="K25" s="54">
        <f t="shared" si="3"/>
        <v>0</v>
      </c>
      <c r="L25" s="53"/>
      <c r="M25" s="8"/>
      <c r="N25" s="54">
        <f t="shared" si="4"/>
        <v>0</v>
      </c>
    </row>
    <row r="26" spans="1:14" ht="12.75" hidden="1">
      <c r="A26" s="75" t="s">
        <v>33</v>
      </c>
      <c r="B26" s="53"/>
      <c r="C26" s="8"/>
      <c r="D26" s="8"/>
      <c r="E26" s="54">
        <f t="shared" si="1"/>
        <v>0</v>
      </c>
      <c r="F26" s="53"/>
      <c r="G26" s="106"/>
      <c r="H26" s="15">
        <f t="shared" si="2"/>
        <v>0</v>
      </c>
      <c r="I26" s="8"/>
      <c r="J26" s="8"/>
      <c r="K26" s="54">
        <f t="shared" si="3"/>
        <v>0</v>
      </c>
      <c r="L26" s="53"/>
      <c r="M26" s="8"/>
      <c r="N26" s="54">
        <f t="shared" si="4"/>
        <v>0</v>
      </c>
    </row>
    <row r="27" spans="1:14" ht="12.75" hidden="1">
      <c r="A27" s="75" t="s">
        <v>34</v>
      </c>
      <c r="B27" s="53"/>
      <c r="C27" s="8"/>
      <c r="D27" s="8"/>
      <c r="E27" s="54">
        <f t="shared" si="1"/>
        <v>0</v>
      </c>
      <c r="F27" s="53"/>
      <c r="G27" s="106"/>
      <c r="H27" s="15">
        <f t="shared" si="2"/>
        <v>0</v>
      </c>
      <c r="I27" s="8"/>
      <c r="J27" s="8"/>
      <c r="K27" s="54">
        <f t="shared" si="3"/>
        <v>0</v>
      </c>
      <c r="L27" s="53"/>
      <c r="M27" s="8"/>
      <c r="N27" s="54">
        <f t="shared" si="4"/>
        <v>0</v>
      </c>
    </row>
    <row r="28" spans="1:14" ht="12.75">
      <c r="A28" s="75" t="s">
        <v>35</v>
      </c>
      <c r="B28" s="53">
        <f>SUM(B29:B33)</f>
        <v>78247</v>
      </c>
      <c r="C28" s="8">
        <f aca="true" t="shared" si="5" ref="C28:N28">SUM(C29:C33)</f>
        <v>9309.2</v>
      </c>
      <c r="D28" s="8">
        <f t="shared" si="5"/>
        <v>1696.4</v>
      </c>
      <c r="E28" s="54">
        <f t="shared" si="5"/>
        <v>89252.6</v>
      </c>
      <c r="F28" s="53">
        <f t="shared" si="5"/>
        <v>25690</v>
      </c>
      <c r="G28" s="106">
        <f t="shared" si="5"/>
        <v>1099.5</v>
      </c>
      <c r="H28" s="15">
        <f t="shared" si="5"/>
        <v>116042.1</v>
      </c>
      <c r="I28" s="8">
        <f t="shared" si="5"/>
        <v>19011</v>
      </c>
      <c r="J28" s="8">
        <f t="shared" si="5"/>
        <v>0</v>
      </c>
      <c r="K28" s="54">
        <f t="shared" si="5"/>
        <v>135053.1</v>
      </c>
      <c r="L28" s="53">
        <f t="shared" si="5"/>
        <v>0</v>
      </c>
      <c r="M28" s="8">
        <f t="shared" si="5"/>
        <v>0</v>
      </c>
      <c r="N28" s="54">
        <f t="shared" si="5"/>
        <v>135053.1</v>
      </c>
    </row>
    <row r="29" spans="1:14" ht="12.75">
      <c r="A29" s="75" t="s">
        <v>36</v>
      </c>
      <c r="B29" s="53">
        <v>26718</v>
      </c>
      <c r="C29" s="8">
        <v>1021.6</v>
      </c>
      <c r="D29" s="8">
        <v>1490.9</v>
      </c>
      <c r="E29" s="54">
        <f>B29+C29+D29</f>
        <v>29230.5</v>
      </c>
      <c r="F29" s="53"/>
      <c r="G29" s="106">
        <v>1099.5</v>
      </c>
      <c r="H29" s="15">
        <f>E29+F29+G29</f>
        <v>30330</v>
      </c>
      <c r="I29" s="8"/>
      <c r="J29" s="8"/>
      <c r="K29" s="54">
        <f>H29+I29+J29</f>
        <v>30330</v>
      </c>
      <c r="L29" s="53"/>
      <c r="M29" s="8"/>
      <c r="N29" s="54">
        <f>K29+L29+M29</f>
        <v>30330</v>
      </c>
    </row>
    <row r="30" spans="1:14" ht="12.75">
      <c r="A30" s="75" t="s">
        <v>37</v>
      </c>
      <c r="B30" s="53"/>
      <c r="C30" s="8"/>
      <c r="D30" s="8"/>
      <c r="E30" s="54">
        <f>B30+C30+D30</f>
        <v>0</v>
      </c>
      <c r="F30" s="53">
        <v>25690</v>
      </c>
      <c r="G30" s="106"/>
      <c r="H30" s="15">
        <f>E30+F30+G30</f>
        <v>25690</v>
      </c>
      <c r="I30" s="8">
        <v>19011</v>
      </c>
      <c r="J30" s="8"/>
      <c r="K30" s="54">
        <f>H30+I30+J30</f>
        <v>44701</v>
      </c>
      <c r="L30" s="53"/>
      <c r="M30" s="8"/>
      <c r="N30" s="54">
        <f>K30+L30+M30</f>
        <v>44701</v>
      </c>
    </row>
    <row r="31" spans="1:14" ht="12.75">
      <c r="A31" s="75" t="s">
        <v>38</v>
      </c>
      <c r="B31" s="53">
        <v>23685</v>
      </c>
      <c r="C31" s="8"/>
      <c r="D31" s="8"/>
      <c r="E31" s="54">
        <f>B31+C31+D31</f>
        <v>23685</v>
      </c>
      <c r="F31" s="53"/>
      <c r="G31" s="106"/>
      <c r="H31" s="15">
        <f>E31+F31+G31</f>
        <v>23685</v>
      </c>
      <c r="I31" s="8"/>
      <c r="J31" s="8"/>
      <c r="K31" s="54">
        <f>H31+I31+J31</f>
        <v>23685</v>
      </c>
      <c r="L31" s="53"/>
      <c r="M31" s="8"/>
      <c r="N31" s="54">
        <f>K31+L31+M31</f>
        <v>23685</v>
      </c>
    </row>
    <row r="32" spans="1:14" ht="12.75">
      <c r="A32" s="75" t="s">
        <v>39</v>
      </c>
      <c r="B32" s="53">
        <v>10243</v>
      </c>
      <c r="C32" s="8"/>
      <c r="D32" s="8"/>
      <c r="E32" s="54">
        <f>B32+C32+D32</f>
        <v>10243</v>
      </c>
      <c r="F32" s="53"/>
      <c r="G32" s="106"/>
      <c r="H32" s="15">
        <f>E32+F32+G32</f>
        <v>10243</v>
      </c>
      <c r="I32" s="8"/>
      <c r="J32" s="8"/>
      <c r="K32" s="54">
        <f>H32+I32+J32</f>
        <v>10243</v>
      </c>
      <c r="L32" s="53"/>
      <c r="M32" s="8"/>
      <c r="N32" s="54">
        <f>K32+L32+M32</f>
        <v>10243</v>
      </c>
    </row>
    <row r="33" spans="1:14" ht="12.75">
      <c r="A33" s="75" t="s">
        <v>40</v>
      </c>
      <c r="B33" s="53">
        <v>17601</v>
      </c>
      <c r="C33" s="8">
        <f>7667+620.6</f>
        <v>8287.6</v>
      </c>
      <c r="D33" s="8">
        <v>205.5</v>
      </c>
      <c r="E33" s="54">
        <f>B33+C33+D33</f>
        <v>26094.1</v>
      </c>
      <c r="F33" s="53"/>
      <c r="G33" s="106"/>
      <c r="H33" s="15">
        <f>E33+F33+G33</f>
        <v>26094.1</v>
      </c>
      <c r="I33" s="8"/>
      <c r="J33" s="8"/>
      <c r="K33" s="54">
        <f>H33+I33+J33</f>
        <v>26094.1</v>
      </c>
      <c r="L33" s="53"/>
      <c r="M33" s="8"/>
      <c r="N33" s="54">
        <f>K33+L33+M33</f>
        <v>26094.1</v>
      </c>
    </row>
    <row r="34" spans="1:14" ht="12.75" hidden="1">
      <c r="A34" s="77" t="s">
        <v>41</v>
      </c>
      <c r="B34" s="55">
        <f>SUM(B36:B39)</f>
        <v>0</v>
      </c>
      <c r="C34" s="9">
        <f aca="true" t="shared" si="6" ref="C34:N34">SUM(C36:C39)</f>
        <v>0</v>
      </c>
      <c r="D34" s="9">
        <f t="shared" si="6"/>
        <v>0</v>
      </c>
      <c r="E34" s="56">
        <f t="shared" si="6"/>
        <v>0</v>
      </c>
      <c r="F34" s="55">
        <f t="shared" si="6"/>
        <v>0</v>
      </c>
      <c r="G34" s="18">
        <f t="shared" si="6"/>
        <v>0</v>
      </c>
      <c r="H34" s="115">
        <f t="shared" si="6"/>
        <v>0</v>
      </c>
      <c r="I34" s="9">
        <f t="shared" si="6"/>
        <v>0</v>
      </c>
      <c r="J34" s="9">
        <f t="shared" si="6"/>
        <v>0</v>
      </c>
      <c r="K34" s="56">
        <f t="shared" si="6"/>
        <v>0</v>
      </c>
      <c r="L34" s="55">
        <f t="shared" si="6"/>
        <v>0</v>
      </c>
      <c r="M34" s="9">
        <f t="shared" si="6"/>
        <v>0</v>
      </c>
      <c r="N34" s="56">
        <f t="shared" si="6"/>
        <v>0</v>
      </c>
    </row>
    <row r="35" spans="1:14" ht="12.75" hidden="1">
      <c r="A35" s="74" t="s">
        <v>23</v>
      </c>
      <c r="B35" s="53"/>
      <c r="C35" s="8"/>
      <c r="D35" s="8"/>
      <c r="E35" s="54"/>
      <c r="F35" s="53"/>
      <c r="G35" s="106"/>
      <c r="H35" s="15"/>
      <c r="I35" s="8"/>
      <c r="J35" s="8"/>
      <c r="K35" s="54"/>
      <c r="L35" s="53"/>
      <c r="M35" s="8"/>
      <c r="N35" s="54"/>
    </row>
    <row r="36" spans="1:14" ht="12.75" hidden="1">
      <c r="A36" s="75" t="s">
        <v>42</v>
      </c>
      <c r="B36" s="53"/>
      <c r="C36" s="8"/>
      <c r="D36" s="8"/>
      <c r="E36" s="54">
        <f>B36+C36+D36</f>
        <v>0</v>
      </c>
      <c r="F36" s="53"/>
      <c r="G36" s="106"/>
      <c r="H36" s="15">
        <f>E36+F36+G36</f>
        <v>0</v>
      </c>
      <c r="I36" s="8"/>
      <c r="J36" s="8"/>
      <c r="K36" s="54">
        <f>H36+I36+J36</f>
        <v>0</v>
      </c>
      <c r="L36" s="53"/>
      <c r="M36" s="8"/>
      <c r="N36" s="54">
        <f>K36+L36+M36</f>
        <v>0</v>
      </c>
    </row>
    <row r="37" spans="1:14" ht="12.75" hidden="1">
      <c r="A37" s="75" t="s">
        <v>43</v>
      </c>
      <c r="B37" s="53"/>
      <c r="C37" s="8"/>
      <c r="D37" s="8"/>
      <c r="E37" s="54">
        <f>B37+C37+D37</f>
        <v>0</v>
      </c>
      <c r="F37" s="53"/>
      <c r="G37" s="106"/>
      <c r="H37" s="15">
        <f>E37+F37+G37</f>
        <v>0</v>
      </c>
      <c r="I37" s="10"/>
      <c r="J37" s="8"/>
      <c r="K37" s="54">
        <f>H37+I37+J37</f>
        <v>0</v>
      </c>
      <c r="L37" s="70"/>
      <c r="M37" s="8"/>
      <c r="N37" s="54">
        <f>K37+L37+M37</f>
        <v>0</v>
      </c>
    </row>
    <row r="38" spans="1:14" ht="12.75" hidden="1">
      <c r="A38" s="75" t="s">
        <v>44</v>
      </c>
      <c r="B38" s="53"/>
      <c r="C38" s="8"/>
      <c r="D38" s="8"/>
      <c r="E38" s="54">
        <f>B38+C38+D38</f>
        <v>0</v>
      </c>
      <c r="F38" s="53"/>
      <c r="G38" s="106"/>
      <c r="H38" s="15">
        <f>E38+F38+G38</f>
        <v>0</v>
      </c>
      <c r="I38" s="10"/>
      <c r="J38" s="8"/>
      <c r="K38" s="54">
        <f>H38+I38+J38</f>
        <v>0</v>
      </c>
      <c r="L38" s="70"/>
      <c r="M38" s="8"/>
      <c r="N38" s="54">
        <f>K38+L38+M38</f>
        <v>0</v>
      </c>
    </row>
    <row r="39" spans="1:14" ht="12.75" hidden="1">
      <c r="A39" s="75" t="s">
        <v>45</v>
      </c>
      <c r="B39" s="53"/>
      <c r="C39" s="8"/>
      <c r="D39" s="8"/>
      <c r="E39" s="54">
        <f>B39+C39+D39</f>
        <v>0</v>
      </c>
      <c r="F39" s="53"/>
      <c r="G39" s="106"/>
      <c r="H39" s="15">
        <f>E39+F39+G39</f>
        <v>0</v>
      </c>
      <c r="I39" s="8"/>
      <c r="J39" s="8"/>
      <c r="K39" s="54">
        <f>H39+I39+J39</f>
        <v>0</v>
      </c>
      <c r="L39" s="53"/>
      <c r="M39" s="8"/>
      <c r="N39" s="54">
        <f>K39+L39+M39</f>
        <v>0</v>
      </c>
    </row>
    <row r="40" spans="1:14" ht="12.75">
      <c r="A40" s="73" t="s">
        <v>46</v>
      </c>
      <c r="B40" s="51">
        <f>SUM(B42:B59)</f>
        <v>81932</v>
      </c>
      <c r="C40" s="7">
        <f aca="true" t="shared" si="7" ref="C40:N40">SUM(C42:C59)</f>
        <v>1449734.2000000002</v>
      </c>
      <c r="D40" s="7">
        <f t="shared" si="7"/>
        <v>0</v>
      </c>
      <c r="E40" s="52">
        <f t="shared" si="7"/>
        <v>1531666.2000000002</v>
      </c>
      <c r="F40" s="51">
        <f t="shared" si="7"/>
        <v>1133383.2000000002</v>
      </c>
      <c r="G40" s="125">
        <f t="shared" si="7"/>
        <v>0</v>
      </c>
      <c r="H40" s="166">
        <f t="shared" si="7"/>
        <v>2665049.4</v>
      </c>
      <c r="I40" s="7">
        <f t="shared" si="7"/>
        <v>1145254.0999999999</v>
      </c>
      <c r="J40" s="7">
        <f t="shared" si="7"/>
        <v>0</v>
      </c>
      <c r="K40" s="52">
        <f t="shared" si="7"/>
        <v>3810303.4999999995</v>
      </c>
      <c r="L40" s="51">
        <f t="shared" si="7"/>
        <v>0</v>
      </c>
      <c r="M40" s="7">
        <f t="shared" si="7"/>
        <v>0</v>
      </c>
      <c r="N40" s="52">
        <f t="shared" si="7"/>
        <v>3538802.6999999997</v>
      </c>
    </row>
    <row r="41" spans="1:14" ht="12.75">
      <c r="A41" s="78" t="s">
        <v>47</v>
      </c>
      <c r="B41" s="53"/>
      <c r="C41" s="8"/>
      <c r="D41" s="8"/>
      <c r="E41" s="54"/>
      <c r="F41" s="53"/>
      <c r="G41" s="106"/>
      <c r="H41" s="15"/>
      <c r="I41" s="8"/>
      <c r="J41" s="8"/>
      <c r="K41" s="54"/>
      <c r="L41" s="53"/>
      <c r="M41" s="8"/>
      <c r="N41" s="54"/>
    </row>
    <row r="42" spans="1:14" ht="12.75">
      <c r="A42" s="76" t="s">
        <v>48</v>
      </c>
      <c r="B42" s="53">
        <v>81782</v>
      </c>
      <c r="C42" s="8"/>
      <c r="D42" s="8"/>
      <c r="E42" s="54">
        <f>B42+C42+D42</f>
        <v>81782</v>
      </c>
      <c r="F42" s="53"/>
      <c r="G42" s="106"/>
      <c r="H42" s="15">
        <f>E42+F42+G42</f>
        <v>81782</v>
      </c>
      <c r="I42" s="8"/>
      <c r="J42" s="8"/>
      <c r="K42" s="54">
        <f>H42+I42+J42</f>
        <v>81782</v>
      </c>
      <c r="L42" s="53"/>
      <c r="M42" s="8"/>
      <c r="N42" s="54">
        <f>K42+L42+M42</f>
        <v>81782</v>
      </c>
    </row>
    <row r="43" spans="1:14" ht="12.75">
      <c r="A43" s="76" t="s">
        <v>49</v>
      </c>
      <c r="B43" s="53"/>
      <c r="C43" s="8">
        <f>75.9+150+397.1</f>
        <v>623</v>
      </c>
      <c r="D43" s="8"/>
      <c r="E43" s="54">
        <f aca="true" t="shared" si="8" ref="E43:E59">B43+C43+D43</f>
        <v>623</v>
      </c>
      <c r="F43" s="53">
        <f>100+565.5+62</f>
        <v>727.5</v>
      </c>
      <c r="G43" s="106"/>
      <c r="H43" s="15">
        <f aca="true" t="shared" si="9" ref="H43:H59">E43+F43+G43</f>
        <v>1350.5</v>
      </c>
      <c r="I43" s="8">
        <f>267.7+61.9+444.6+61.5+133.2</f>
        <v>968.9000000000001</v>
      </c>
      <c r="J43" s="8"/>
      <c r="K43" s="54">
        <f aca="true" t="shared" si="10" ref="K43:K59">H43+I43+J43</f>
        <v>2319.4</v>
      </c>
      <c r="L43" s="53"/>
      <c r="M43" s="8"/>
      <c r="N43" s="54">
        <f aca="true" t="shared" si="11" ref="N43:N59">K43+L43+M43</f>
        <v>2319.4</v>
      </c>
    </row>
    <row r="44" spans="1:14" ht="12.75">
      <c r="A44" s="76" t="s">
        <v>50</v>
      </c>
      <c r="B44" s="53"/>
      <c r="C44" s="8">
        <f>1117914+37831+1413</f>
        <v>1157158</v>
      </c>
      <c r="D44" s="8"/>
      <c r="E44" s="54">
        <f t="shared" si="8"/>
        <v>1157158</v>
      </c>
      <c r="F44" s="53">
        <f>2.2+3379.8+9879.2+8665.8+1007578+50721+4083.9+196.7+1527+108.1+23.3+285.5+3089.1+4351</f>
        <v>1093890.6</v>
      </c>
      <c r="G44" s="106"/>
      <c r="H44" s="15">
        <f t="shared" si="9"/>
        <v>2251048.6</v>
      </c>
      <c r="I44" s="8">
        <f>26.7+21110+1851+399.1+397.6+203.1+1014337+51840+1779.3</f>
        <v>1091943.8</v>
      </c>
      <c r="J44" s="8"/>
      <c r="K44" s="54">
        <f t="shared" si="10"/>
        <v>3342992.4000000004</v>
      </c>
      <c r="L44" s="53"/>
      <c r="M44" s="8"/>
      <c r="N44" s="54">
        <f t="shared" si="11"/>
        <v>3342992.4000000004</v>
      </c>
    </row>
    <row r="45" spans="1:14" ht="12.75">
      <c r="A45" s="76" t="s">
        <v>51</v>
      </c>
      <c r="B45" s="53"/>
      <c r="C45" s="8">
        <f>445.2+22692.1+3670.4+5277.6+3189.5</f>
        <v>35274.8</v>
      </c>
      <c r="D45" s="8"/>
      <c r="E45" s="54">
        <f t="shared" si="8"/>
        <v>35274.8</v>
      </c>
      <c r="F45" s="53">
        <f>174.4+2368+17297.8+4226.8+2920</f>
        <v>26987</v>
      </c>
      <c r="G45" s="106"/>
      <c r="H45" s="15">
        <f t="shared" si="9"/>
        <v>62261.8</v>
      </c>
      <c r="I45" s="8">
        <f>287.6+475.3+305.2+380.8+21124.3+1927.3+4757.3+5016.3</f>
        <v>34274.1</v>
      </c>
      <c r="J45" s="8"/>
      <c r="K45" s="54">
        <f t="shared" si="10"/>
        <v>96535.9</v>
      </c>
      <c r="L45" s="53"/>
      <c r="M45" s="8"/>
      <c r="N45" s="54">
        <f t="shared" si="11"/>
        <v>96535.9</v>
      </c>
    </row>
    <row r="46" spans="1:14" ht="12.75">
      <c r="A46" s="76" t="s">
        <v>52</v>
      </c>
      <c r="B46" s="53"/>
      <c r="C46" s="8"/>
      <c r="D46" s="8"/>
      <c r="E46" s="54">
        <f t="shared" si="8"/>
        <v>0</v>
      </c>
      <c r="F46" s="53">
        <v>10.3</v>
      </c>
      <c r="G46" s="106"/>
      <c r="H46" s="15">
        <f t="shared" si="9"/>
        <v>10.3</v>
      </c>
      <c r="I46" s="8"/>
      <c r="J46" s="8"/>
      <c r="K46" s="54">
        <f t="shared" si="10"/>
        <v>10.3</v>
      </c>
      <c r="L46" s="53"/>
      <c r="M46" s="8"/>
      <c r="N46" s="54">
        <f t="shared" si="11"/>
        <v>10.3</v>
      </c>
    </row>
    <row r="47" spans="1:14" ht="12.75">
      <c r="A47" s="76" t="s">
        <v>273</v>
      </c>
      <c r="B47" s="53"/>
      <c r="C47" s="8"/>
      <c r="D47" s="8"/>
      <c r="E47" s="54"/>
      <c r="F47" s="53"/>
      <c r="G47" s="106"/>
      <c r="H47" s="15">
        <f t="shared" si="9"/>
        <v>0</v>
      </c>
      <c r="I47" s="8">
        <v>1453.5</v>
      </c>
      <c r="J47" s="8"/>
      <c r="K47" s="54">
        <f t="shared" si="10"/>
        <v>1453.5</v>
      </c>
      <c r="L47" s="53"/>
      <c r="M47" s="8"/>
      <c r="N47" s="54"/>
    </row>
    <row r="48" spans="1:14" ht="12.75">
      <c r="A48" s="76" t="s">
        <v>53</v>
      </c>
      <c r="B48" s="53"/>
      <c r="C48" s="8"/>
      <c r="D48" s="8"/>
      <c r="E48" s="54">
        <f t="shared" si="8"/>
        <v>0</v>
      </c>
      <c r="F48" s="53"/>
      <c r="G48" s="106"/>
      <c r="H48" s="15">
        <f t="shared" si="9"/>
        <v>0</v>
      </c>
      <c r="I48" s="8">
        <f>97+99</f>
        <v>196</v>
      </c>
      <c r="J48" s="8"/>
      <c r="K48" s="54">
        <f t="shared" si="10"/>
        <v>196</v>
      </c>
      <c r="L48" s="53"/>
      <c r="M48" s="8"/>
      <c r="N48" s="54">
        <f t="shared" si="11"/>
        <v>196</v>
      </c>
    </row>
    <row r="49" spans="1:14" ht="12.75" hidden="1">
      <c r="A49" s="76" t="s">
        <v>54</v>
      </c>
      <c r="B49" s="53"/>
      <c r="C49" s="8"/>
      <c r="D49" s="8"/>
      <c r="E49" s="54">
        <f t="shared" si="8"/>
        <v>0</v>
      </c>
      <c r="F49" s="53"/>
      <c r="G49" s="106"/>
      <c r="H49" s="15">
        <f t="shared" si="9"/>
        <v>0</v>
      </c>
      <c r="I49" s="8"/>
      <c r="J49" s="8"/>
      <c r="K49" s="54">
        <f t="shared" si="10"/>
        <v>0</v>
      </c>
      <c r="L49" s="53"/>
      <c r="M49" s="8"/>
      <c r="N49" s="54">
        <f t="shared" si="11"/>
        <v>0</v>
      </c>
    </row>
    <row r="50" spans="1:14" ht="12.75">
      <c r="A50" s="76" t="s">
        <v>55</v>
      </c>
      <c r="B50" s="53"/>
      <c r="C50" s="8"/>
      <c r="D50" s="8"/>
      <c r="E50" s="54">
        <f t="shared" si="8"/>
        <v>0</v>
      </c>
      <c r="F50" s="53">
        <f>7842+1089.7+364.9</f>
        <v>9296.6</v>
      </c>
      <c r="G50" s="106"/>
      <c r="H50" s="15">
        <f t="shared" si="9"/>
        <v>9296.6</v>
      </c>
      <c r="I50" s="8">
        <f>131.7+330.1+40+3062.6+43</f>
        <v>3607.4</v>
      </c>
      <c r="J50" s="8"/>
      <c r="K50" s="54">
        <f t="shared" si="10"/>
        <v>12904</v>
      </c>
      <c r="L50" s="53"/>
      <c r="M50" s="8"/>
      <c r="N50" s="54">
        <f t="shared" si="11"/>
        <v>12904</v>
      </c>
    </row>
    <row r="51" spans="1:14" ht="12.75">
      <c r="A51" s="76" t="s">
        <v>245</v>
      </c>
      <c r="B51" s="53"/>
      <c r="C51" s="8">
        <v>254602.6</v>
      </c>
      <c r="D51" s="8"/>
      <c r="E51" s="54">
        <f t="shared" si="8"/>
        <v>254602.6</v>
      </c>
      <c r="F51" s="53"/>
      <c r="G51" s="106"/>
      <c r="H51" s="15">
        <f t="shared" si="9"/>
        <v>254602.6</v>
      </c>
      <c r="I51" s="8">
        <v>8284.8</v>
      </c>
      <c r="J51" s="8"/>
      <c r="K51" s="54">
        <f t="shared" si="10"/>
        <v>262887.4</v>
      </c>
      <c r="L51" s="53"/>
      <c r="M51" s="8"/>
      <c r="N51" s="54"/>
    </row>
    <row r="52" spans="1:14" ht="12.75">
      <c r="A52" s="76" t="s">
        <v>56</v>
      </c>
      <c r="B52" s="53"/>
      <c r="C52" s="8"/>
      <c r="D52" s="8"/>
      <c r="E52" s="54">
        <f t="shared" si="8"/>
        <v>0</v>
      </c>
      <c r="F52" s="53">
        <f>141.7+176.3</f>
        <v>318</v>
      </c>
      <c r="G52" s="106"/>
      <c r="H52" s="15">
        <f t="shared" si="9"/>
        <v>318</v>
      </c>
      <c r="I52" s="8">
        <f>431.3+751.9+23.5+16.6</f>
        <v>1223.3</v>
      </c>
      <c r="J52" s="8"/>
      <c r="K52" s="54">
        <f t="shared" si="10"/>
        <v>1541.3</v>
      </c>
      <c r="L52" s="53"/>
      <c r="M52" s="8"/>
      <c r="N52" s="54">
        <f t="shared" si="11"/>
        <v>1541.3</v>
      </c>
    </row>
    <row r="53" spans="1:14" ht="12.75">
      <c r="A53" s="76" t="s">
        <v>57</v>
      </c>
      <c r="B53" s="53"/>
      <c r="C53" s="8"/>
      <c r="D53" s="8"/>
      <c r="E53" s="54">
        <f t="shared" si="8"/>
        <v>0</v>
      </c>
      <c r="F53" s="70">
        <v>250</v>
      </c>
      <c r="G53" s="106"/>
      <c r="H53" s="15">
        <f t="shared" si="9"/>
        <v>250</v>
      </c>
      <c r="I53" s="10">
        <v>100</v>
      </c>
      <c r="J53" s="8"/>
      <c r="K53" s="54">
        <f t="shared" si="10"/>
        <v>350</v>
      </c>
      <c r="L53" s="53"/>
      <c r="M53" s="8"/>
      <c r="N53" s="54">
        <f t="shared" si="11"/>
        <v>350</v>
      </c>
    </row>
    <row r="54" spans="1:14" ht="12.75" hidden="1">
      <c r="A54" s="76" t="s">
        <v>58</v>
      </c>
      <c r="B54" s="53"/>
      <c r="C54" s="8"/>
      <c r="D54" s="8"/>
      <c r="E54" s="54">
        <f t="shared" si="8"/>
        <v>0</v>
      </c>
      <c r="F54" s="53"/>
      <c r="G54" s="106"/>
      <c r="H54" s="15">
        <f t="shared" si="9"/>
        <v>0</v>
      </c>
      <c r="I54" s="8"/>
      <c r="J54" s="8"/>
      <c r="K54" s="54">
        <f t="shared" si="10"/>
        <v>0</v>
      </c>
      <c r="L54" s="53"/>
      <c r="M54" s="8"/>
      <c r="N54" s="54">
        <f t="shared" si="11"/>
        <v>0</v>
      </c>
    </row>
    <row r="55" spans="1:14" ht="12.75">
      <c r="A55" s="76" t="s">
        <v>69</v>
      </c>
      <c r="B55" s="53"/>
      <c r="C55" s="8">
        <f>92.5+92.5+0.8+1150+740</f>
        <v>2075.8</v>
      </c>
      <c r="D55" s="8"/>
      <c r="E55" s="54">
        <f t="shared" si="8"/>
        <v>2075.8</v>
      </c>
      <c r="F55" s="53">
        <f>37.6+425.9+11.3+127.8+12.2+138.3+12.4+140.5+7.5+85+904.4+0.3</f>
        <v>1903.2</v>
      </c>
      <c r="G55" s="106"/>
      <c r="H55" s="15">
        <f t="shared" si="9"/>
        <v>3979</v>
      </c>
      <c r="I55" s="8">
        <f>1.3+14.9+92.9+1052.7+100+1133.3+0.4+111.3+417.6</f>
        <v>2924.4</v>
      </c>
      <c r="J55" s="8"/>
      <c r="K55" s="54">
        <f t="shared" si="10"/>
        <v>6903.4</v>
      </c>
      <c r="L55" s="53"/>
      <c r="M55" s="8"/>
      <c r="N55" s="54"/>
    </row>
    <row r="56" spans="1:14" ht="12.75" hidden="1">
      <c r="A56" s="76" t="s">
        <v>59</v>
      </c>
      <c r="B56" s="53"/>
      <c r="C56" s="8"/>
      <c r="D56" s="8"/>
      <c r="E56" s="54">
        <f t="shared" si="8"/>
        <v>0</v>
      </c>
      <c r="F56" s="53"/>
      <c r="G56" s="106"/>
      <c r="H56" s="15">
        <f t="shared" si="9"/>
        <v>0</v>
      </c>
      <c r="I56" s="8"/>
      <c r="J56" s="8"/>
      <c r="K56" s="54">
        <f t="shared" si="10"/>
        <v>0</v>
      </c>
      <c r="L56" s="53"/>
      <c r="M56" s="8"/>
      <c r="N56" s="54">
        <f t="shared" si="11"/>
        <v>0</v>
      </c>
    </row>
    <row r="57" spans="1:14" ht="12.75">
      <c r="A57" s="76" t="s">
        <v>272</v>
      </c>
      <c r="B57" s="53"/>
      <c r="C57" s="8"/>
      <c r="D57" s="8"/>
      <c r="E57" s="54"/>
      <c r="F57" s="53"/>
      <c r="G57" s="106"/>
      <c r="H57" s="15">
        <f t="shared" si="9"/>
        <v>0</v>
      </c>
      <c r="I57" s="8">
        <v>256.5</v>
      </c>
      <c r="J57" s="8"/>
      <c r="K57" s="54">
        <f t="shared" si="10"/>
        <v>256.5</v>
      </c>
      <c r="L57" s="53"/>
      <c r="M57" s="8"/>
      <c r="N57" s="54"/>
    </row>
    <row r="58" spans="1:14" ht="12.75">
      <c r="A58" s="76" t="s">
        <v>60</v>
      </c>
      <c r="B58" s="53"/>
      <c r="C58" s="8"/>
      <c r="D58" s="8"/>
      <c r="E58" s="54">
        <f t="shared" si="8"/>
        <v>0</v>
      </c>
      <c r="F58" s="53"/>
      <c r="G58" s="106"/>
      <c r="H58" s="15">
        <f t="shared" si="9"/>
        <v>0</v>
      </c>
      <c r="I58" s="8">
        <v>21.4</v>
      </c>
      <c r="J58" s="8"/>
      <c r="K58" s="54">
        <f t="shared" si="10"/>
        <v>21.4</v>
      </c>
      <c r="L58" s="53"/>
      <c r="M58" s="8"/>
      <c r="N58" s="54">
        <f t="shared" si="11"/>
        <v>21.4</v>
      </c>
    </row>
    <row r="59" spans="1:14" ht="12.75">
      <c r="A59" s="76" t="s">
        <v>61</v>
      </c>
      <c r="B59" s="53">
        <v>150</v>
      </c>
      <c r="C59" s="8"/>
      <c r="D59" s="8"/>
      <c r="E59" s="54">
        <f t="shared" si="8"/>
        <v>150</v>
      </c>
      <c r="F59" s="53"/>
      <c r="G59" s="106"/>
      <c r="H59" s="15">
        <f t="shared" si="9"/>
        <v>150</v>
      </c>
      <c r="I59" s="8"/>
      <c r="J59" s="8"/>
      <c r="K59" s="54">
        <f t="shared" si="10"/>
        <v>150</v>
      </c>
      <c r="L59" s="53"/>
      <c r="M59" s="8"/>
      <c r="N59" s="54">
        <f t="shared" si="11"/>
        <v>150</v>
      </c>
    </row>
    <row r="60" spans="1:14" ht="12.75" hidden="1">
      <c r="A60" s="77" t="s">
        <v>62</v>
      </c>
      <c r="B60" s="55">
        <f>SUM(B62:B64)</f>
        <v>0</v>
      </c>
      <c r="C60" s="9">
        <f aca="true" t="shared" si="12" ref="C60:N60">SUM(C62:C64)</f>
        <v>0</v>
      </c>
      <c r="D60" s="9">
        <f t="shared" si="12"/>
        <v>0</v>
      </c>
      <c r="E60" s="56">
        <f t="shared" si="12"/>
        <v>0</v>
      </c>
      <c r="F60" s="55">
        <f t="shared" si="12"/>
        <v>0</v>
      </c>
      <c r="G60" s="18">
        <f t="shared" si="12"/>
        <v>0</v>
      </c>
      <c r="H60" s="115">
        <f t="shared" si="12"/>
        <v>0</v>
      </c>
      <c r="I60" s="9">
        <f t="shared" si="12"/>
        <v>0</v>
      </c>
      <c r="J60" s="9">
        <f t="shared" si="12"/>
        <v>0</v>
      </c>
      <c r="K60" s="56">
        <f t="shared" si="12"/>
        <v>0</v>
      </c>
      <c r="L60" s="55">
        <f t="shared" si="12"/>
        <v>0</v>
      </c>
      <c r="M60" s="9">
        <f t="shared" si="12"/>
        <v>0</v>
      </c>
      <c r="N60" s="56">
        <f t="shared" si="12"/>
        <v>0</v>
      </c>
    </row>
    <row r="61" spans="1:14" ht="12.75" hidden="1">
      <c r="A61" s="74" t="s">
        <v>47</v>
      </c>
      <c r="B61" s="53"/>
      <c r="C61" s="8"/>
      <c r="D61" s="8"/>
      <c r="E61" s="54"/>
      <c r="F61" s="53"/>
      <c r="G61" s="106"/>
      <c r="H61" s="15"/>
      <c r="I61" s="8"/>
      <c r="J61" s="8"/>
      <c r="K61" s="54"/>
      <c r="L61" s="53"/>
      <c r="M61" s="8"/>
      <c r="N61" s="54">
        <f>K61+L61+M61</f>
        <v>0</v>
      </c>
    </row>
    <row r="62" spans="1:14" ht="12.75" hidden="1">
      <c r="A62" s="76" t="s">
        <v>63</v>
      </c>
      <c r="B62" s="53"/>
      <c r="C62" s="8"/>
      <c r="D62" s="8"/>
      <c r="E62" s="54">
        <f>B62+C62+D62</f>
        <v>0</v>
      </c>
      <c r="F62" s="53"/>
      <c r="G62" s="106"/>
      <c r="H62" s="15">
        <f>E62+F62+G62</f>
        <v>0</v>
      </c>
      <c r="I62" s="8"/>
      <c r="J62" s="8"/>
      <c r="K62" s="54">
        <f>H62+I62+J62</f>
        <v>0</v>
      </c>
      <c r="L62" s="53"/>
      <c r="M62" s="8"/>
      <c r="N62" s="54">
        <f>K62+L62+M62</f>
        <v>0</v>
      </c>
    </row>
    <row r="63" spans="1:14" ht="12.75" hidden="1">
      <c r="A63" s="76" t="s">
        <v>64</v>
      </c>
      <c r="B63" s="53"/>
      <c r="C63" s="8"/>
      <c r="D63" s="8"/>
      <c r="E63" s="54">
        <f>B63+C63+D63</f>
        <v>0</v>
      </c>
      <c r="F63" s="53"/>
      <c r="G63" s="106"/>
      <c r="H63" s="15">
        <f>E63+F63+G63</f>
        <v>0</v>
      </c>
      <c r="I63" s="8"/>
      <c r="J63" s="8"/>
      <c r="K63" s="54">
        <f>H63+I63+J63</f>
        <v>0</v>
      </c>
      <c r="L63" s="53"/>
      <c r="M63" s="8"/>
      <c r="N63" s="54">
        <f>K63+L63+M63</f>
        <v>0</v>
      </c>
    </row>
    <row r="64" spans="1:14" ht="12.75" hidden="1">
      <c r="A64" s="76" t="s">
        <v>65</v>
      </c>
      <c r="B64" s="53"/>
      <c r="C64" s="8"/>
      <c r="D64" s="8"/>
      <c r="E64" s="54">
        <f>B64+C64+D64</f>
        <v>0</v>
      </c>
      <c r="F64" s="53"/>
      <c r="G64" s="106"/>
      <c r="H64" s="15">
        <f>E64+F64+G64</f>
        <v>0</v>
      </c>
      <c r="I64" s="8"/>
      <c r="J64" s="8"/>
      <c r="K64" s="54">
        <f>H64+I64+J64</f>
        <v>0</v>
      </c>
      <c r="L64" s="57"/>
      <c r="M64" s="11"/>
      <c r="N64" s="58">
        <f>K64+L64+M64</f>
        <v>0</v>
      </c>
    </row>
    <row r="65" spans="1:14" ht="12.75">
      <c r="A65" s="73" t="s">
        <v>66</v>
      </c>
      <c r="B65" s="51">
        <f>SUM(B67:B76)</f>
        <v>0</v>
      </c>
      <c r="C65" s="7">
        <f>SUM(C67:C75)</f>
        <v>43367.700000000004</v>
      </c>
      <c r="D65" s="7">
        <f>SUM(D67:D75)</f>
        <v>0</v>
      </c>
      <c r="E65" s="52">
        <f>SUM(E67:E76)</f>
        <v>43367.700000000004</v>
      </c>
      <c r="F65" s="140">
        <f>SUM(F67:F76)</f>
        <v>114661.20000000001</v>
      </c>
      <c r="G65" s="7">
        <f>SUM(G67:G76)</f>
        <v>2408</v>
      </c>
      <c r="H65" s="166">
        <f>SUM(H67:H76)</f>
        <v>160436.9</v>
      </c>
      <c r="I65" s="7">
        <f>SUM(I67:I76)</f>
        <v>71019.90000000001</v>
      </c>
      <c r="J65" s="7">
        <f>SUM(J67:J75)</f>
        <v>0</v>
      </c>
      <c r="K65" s="52">
        <f>SUM(K67:K76)</f>
        <v>231456.8</v>
      </c>
      <c r="L65" s="51">
        <f>SUM(L67:L75)</f>
        <v>0</v>
      </c>
      <c r="M65" s="7">
        <f>SUM(M67:M75)</f>
        <v>0</v>
      </c>
      <c r="N65" s="52">
        <f>SUM(N67:N75)</f>
        <v>228848.8</v>
      </c>
    </row>
    <row r="66" spans="1:14" ht="12.75">
      <c r="A66" s="78" t="s">
        <v>47</v>
      </c>
      <c r="B66" s="53"/>
      <c r="C66" s="8"/>
      <c r="D66" s="8"/>
      <c r="E66" s="54"/>
      <c r="F66" s="53"/>
      <c r="G66" s="106"/>
      <c r="H66" s="15"/>
      <c r="I66" s="8"/>
      <c r="J66" s="8"/>
      <c r="K66" s="54"/>
      <c r="L66" s="53"/>
      <c r="M66" s="8"/>
      <c r="N66" s="54"/>
    </row>
    <row r="67" spans="1:14" ht="12.75">
      <c r="A67" s="76" t="s">
        <v>50</v>
      </c>
      <c r="B67" s="53"/>
      <c r="C67" s="8"/>
      <c r="D67" s="8"/>
      <c r="E67" s="54">
        <f>B67+C67+D67</f>
        <v>0</v>
      </c>
      <c r="F67" s="53">
        <f>92+2840</f>
        <v>2932</v>
      </c>
      <c r="G67" s="106"/>
      <c r="H67" s="15">
        <f>E67+F67+G67</f>
        <v>2932</v>
      </c>
      <c r="I67" s="8"/>
      <c r="J67" s="8"/>
      <c r="K67" s="54">
        <f>H67+I67+J67</f>
        <v>2932</v>
      </c>
      <c r="L67" s="53"/>
      <c r="M67" s="8"/>
      <c r="N67" s="54">
        <f>K67+L67+M67</f>
        <v>2932</v>
      </c>
    </row>
    <row r="68" spans="1:14" ht="12.75" hidden="1">
      <c r="A68" s="80" t="s">
        <v>51</v>
      </c>
      <c r="B68" s="53"/>
      <c r="C68" s="8"/>
      <c r="D68" s="8"/>
      <c r="E68" s="54">
        <f aca="true" t="shared" si="13" ref="E68:E76">B68+C68+D68</f>
        <v>0</v>
      </c>
      <c r="F68" s="53"/>
      <c r="G68" s="106"/>
      <c r="H68" s="15">
        <f aca="true" t="shared" si="14" ref="H68:H76">E68+F68+G68</f>
        <v>0</v>
      </c>
      <c r="I68" s="8"/>
      <c r="J68" s="8"/>
      <c r="K68" s="54">
        <f aca="true" t="shared" si="15" ref="K68:K76">H68+I68+J68</f>
        <v>0</v>
      </c>
      <c r="L68" s="53"/>
      <c r="M68" s="8"/>
      <c r="N68" s="54">
        <f aca="true" t="shared" si="16" ref="N68:N75">K68+L68+M68</f>
        <v>0</v>
      </c>
    </row>
    <row r="69" spans="1:14" ht="12.75">
      <c r="A69" s="80" t="s">
        <v>49</v>
      </c>
      <c r="B69" s="53"/>
      <c r="C69" s="8"/>
      <c r="D69" s="8"/>
      <c r="E69" s="54">
        <f t="shared" si="13"/>
        <v>0</v>
      </c>
      <c r="F69" s="53"/>
      <c r="G69" s="106"/>
      <c r="H69" s="15">
        <f t="shared" si="14"/>
        <v>0</v>
      </c>
      <c r="I69" s="8">
        <v>1699.4</v>
      </c>
      <c r="J69" s="8"/>
      <c r="K69" s="54">
        <f t="shared" si="15"/>
        <v>1699.4</v>
      </c>
      <c r="L69" s="53"/>
      <c r="M69" s="8"/>
      <c r="N69" s="54">
        <f t="shared" si="16"/>
        <v>1699.4</v>
      </c>
    </row>
    <row r="70" spans="1:14" ht="12.75">
      <c r="A70" s="80" t="s">
        <v>67</v>
      </c>
      <c r="B70" s="53"/>
      <c r="C70" s="8"/>
      <c r="D70" s="8"/>
      <c r="E70" s="54">
        <f t="shared" si="13"/>
        <v>0</v>
      </c>
      <c r="F70" s="53">
        <f>39351.3+3381.6</f>
        <v>42732.9</v>
      </c>
      <c r="G70" s="106"/>
      <c r="H70" s="15">
        <f t="shared" si="14"/>
        <v>42732.9</v>
      </c>
      <c r="I70" s="8">
        <f>9478.2+14952.1+6942.4</f>
        <v>31372.700000000004</v>
      </c>
      <c r="J70" s="8"/>
      <c r="K70" s="54">
        <f t="shared" si="15"/>
        <v>74105.6</v>
      </c>
      <c r="L70" s="53"/>
      <c r="M70" s="8"/>
      <c r="N70" s="54">
        <f t="shared" si="16"/>
        <v>74105.6</v>
      </c>
    </row>
    <row r="71" spans="1:14" ht="12.75" hidden="1">
      <c r="A71" s="76" t="s">
        <v>52</v>
      </c>
      <c r="B71" s="53"/>
      <c r="C71" s="8"/>
      <c r="D71" s="8"/>
      <c r="E71" s="54">
        <f t="shared" si="13"/>
        <v>0</v>
      </c>
      <c r="F71" s="53"/>
      <c r="G71" s="106"/>
      <c r="H71" s="15">
        <f t="shared" si="14"/>
        <v>0</v>
      </c>
      <c r="I71" s="8"/>
      <c r="J71" s="8"/>
      <c r="K71" s="54">
        <f t="shared" si="15"/>
        <v>0</v>
      </c>
      <c r="L71" s="53"/>
      <c r="M71" s="8"/>
      <c r="N71" s="54">
        <f t="shared" si="16"/>
        <v>0</v>
      </c>
    </row>
    <row r="72" spans="1:14" ht="12.75">
      <c r="A72" s="76" t="s">
        <v>68</v>
      </c>
      <c r="B72" s="53"/>
      <c r="C72" s="8"/>
      <c r="D72" s="8"/>
      <c r="E72" s="54">
        <f t="shared" si="13"/>
        <v>0</v>
      </c>
      <c r="F72" s="53"/>
      <c r="G72" s="106"/>
      <c r="H72" s="15">
        <f t="shared" si="14"/>
        <v>0</v>
      </c>
      <c r="I72" s="8">
        <f>1227.2+3189.8</f>
        <v>4417</v>
      </c>
      <c r="J72" s="8"/>
      <c r="K72" s="54">
        <f t="shared" si="15"/>
        <v>4417</v>
      </c>
      <c r="L72" s="53"/>
      <c r="M72" s="8"/>
      <c r="N72" s="54">
        <f t="shared" si="16"/>
        <v>4417</v>
      </c>
    </row>
    <row r="73" spans="1:14" ht="12.75">
      <c r="A73" s="76" t="s">
        <v>69</v>
      </c>
      <c r="B73" s="53"/>
      <c r="C73" s="8">
        <f>15007.7+22822.8+1567.8+3969.4</f>
        <v>43367.700000000004</v>
      </c>
      <c r="D73" s="8"/>
      <c r="E73" s="54">
        <f t="shared" si="13"/>
        <v>43367.700000000004</v>
      </c>
      <c r="F73" s="53">
        <f>376.5+4267.4+2009.5+22773.6+1216.3+13784.4+1106+12535.3+10727.3</f>
        <v>68796.3</v>
      </c>
      <c r="G73" s="106"/>
      <c r="H73" s="15">
        <f t="shared" si="14"/>
        <v>112164</v>
      </c>
      <c r="I73" s="8">
        <f>89.7+1016.5+11362.1+1002.5+5018+953.7</f>
        <v>19442.500000000004</v>
      </c>
      <c r="J73" s="8"/>
      <c r="K73" s="54">
        <f t="shared" si="15"/>
        <v>131606.5</v>
      </c>
      <c r="L73" s="53"/>
      <c r="M73" s="8"/>
      <c r="N73" s="54">
        <f t="shared" si="16"/>
        <v>131606.5</v>
      </c>
    </row>
    <row r="74" spans="1:14" ht="12.75">
      <c r="A74" s="76" t="s">
        <v>70</v>
      </c>
      <c r="B74" s="53"/>
      <c r="C74" s="8"/>
      <c r="D74" s="8"/>
      <c r="E74" s="54">
        <f t="shared" si="13"/>
        <v>0</v>
      </c>
      <c r="F74" s="53"/>
      <c r="G74" s="106"/>
      <c r="H74" s="15">
        <f t="shared" si="14"/>
        <v>0</v>
      </c>
      <c r="I74" s="8">
        <v>7500</v>
      </c>
      <c r="J74" s="8"/>
      <c r="K74" s="54">
        <f t="shared" si="15"/>
        <v>7500</v>
      </c>
      <c r="L74" s="53"/>
      <c r="M74" s="8"/>
      <c r="N74" s="54">
        <f t="shared" si="16"/>
        <v>7500</v>
      </c>
    </row>
    <row r="75" spans="1:14" ht="12.75">
      <c r="A75" s="76" t="s">
        <v>56</v>
      </c>
      <c r="B75" s="53"/>
      <c r="C75" s="8"/>
      <c r="D75" s="8"/>
      <c r="E75" s="54">
        <f t="shared" si="13"/>
        <v>0</v>
      </c>
      <c r="F75" s="53"/>
      <c r="G75" s="106"/>
      <c r="H75" s="15">
        <f t="shared" si="14"/>
        <v>0</v>
      </c>
      <c r="I75" s="8">
        <f>6584.2+3.2+0.9</f>
        <v>6588.299999999999</v>
      </c>
      <c r="J75" s="8"/>
      <c r="K75" s="54">
        <f t="shared" si="15"/>
        <v>6588.299999999999</v>
      </c>
      <c r="L75" s="53"/>
      <c r="M75" s="8"/>
      <c r="N75" s="54">
        <f t="shared" si="16"/>
        <v>6588.299999999999</v>
      </c>
    </row>
    <row r="76" spans="1:14" ht="12.75">
      <c r="A76" s="76" t="s">
        <v>61</v>
      </c>
      <c r="B76" s="53"/>
      <c r="C76" s="8"/>
      <c r="D76" s="8"/>
      <c r="E76" s="54">
        <f t="shared" si="13"/>
        <v>0</v>
      </c>
      <c r="F76" s="53">
        <v>200</v>
      </c>
      <c r="G76" s="106">
        <v>2408</v>
      </c>
      <c r="H76" s="15">
        <f t="shared" si="14"/>
        <v>2608</v>
      </c>
      <c r="I76" s="8"/>
      <c r="J76" s="8"/>
      <c r="K76" s="54">
        <f t="shared" si="15"/>
        <v>2608</v>
      </c>
      <c r="L76" s="53"/>
      <c r="M76" s="8"/>
      <c r="N76" s="54"/>
    </row>
    <row r="77" spans="1:14" ht="12.75">
      <c r="A77" s="77" t="s">
        <v>71</v>
      </c>
      <c r="B77" s="55">
        <f aca="true" t="shared" si="17" ref="B77:N77">SUM(B79:B79)</f>
        <v>0</v>
      </c>
      <c r="C77" s="9">
        <f t="shared" si="17"/>
        <v>0</v>
      </c>
      <c r="D77" s="9">
        <f t="shared" si="17"/>
        <v>0</v>
      </c>
      <c r="E77" s="56">
        <f t="shared" si="17"/>
        <v>0</v>
      </c>
      <c r="F77" s="55">
        <f t="shared" si="17"/>
        <v>0</v>
      </c>
      <c r="G77" s="18">
        <f t="shared" si="17"/>
        <v>0</v>
      </c>
      <c r="H77" s="115">
        <f t="shared" si="17"/>
        <v>0</v>
      </c>
      <c r="I77" s="9">
        <f t="shared" si="17"/>
        <v>20379.8</v>
      </c>
      <c r="J77" s="9">
        <f t="shared" si="17"/>
        <v>0</v>
      </c>
      <c r="K77" s="56">
        <f t="shared" si="17"/>
        <v>20379.8</v>
      </c>
      <c r="L77" s="55">
        <f t="shared" si="17"/>
        <v>0</v>
      </c>
      <c r="M77" s="9">
        <f t="shared" si="17"/>
        <v>0</v>
      </c>
      <c r="N77" s="56">
        <f t="shared" si="17"/>
        <v>20379.8</v>
      </c>
    </row>
    <row r="78" spans="1:14" ht="12.75">
      <c r="A78" s="74" t="s">
        <v>47</v>
      </c>
      <c r="B78" s="53"/>
      <c r="C78" s="8"/>
      <c r="D78" s="8"/>
      <c r="E78" s="54"/>
      <c r="F78" s="53"/>
      <c r="G78" s="106"/>
      <c r="H78" s="15"/>
      <c r="I78" s="8"/>
      <c r="J78" s="8"/>
      <c r="K78" s="54"/>
      <c r="L78" s="53"/>
      <c r="M78" s="8"/>
      <c r="N78" s="54"/>
    </row>
    <row r="79" spans="1:14" ht="12.75">
      <c r="A79" s="76" t="s">
        <v>72</v>
      </c>
      <c r="B79" s="53"/>
      <c r="C79" s="8"/>
      <c r="D79" s="8"/>
      <c r="E79" s="54">
        <f>B79+C79+D79</f>
        <v>0</v>
      </c>
      <c r="F79" s="53"/>
      <c r="G79" s="106"/>
      <c r="H79" s="15">
        <f>E79+F79+G79</f>
        <v>0</v>
      </c>
      <c r="I79" s="8">
        <f>12322.1+8057.7</f>
        <v>20379.8</v>
      </c>
      <c r="J79" s="8"/>
      <c r="K79" s="54">
        <f>H79+I79+J79</f>
        <v>20379.8</v>
      </c>
      <c r="L79" s="53"/>
      <c r="M79" s="8"/>
      <c r="N79" s="54">
        <f>K79+L79+M79</f>
        <v>20379.8</v>
      </c>
    </row>
    <row r="80" spans="1:14" ht="12.75">
      <c r="A80" s="77" t="s">
        <v>73</v>
      </c>
      <c r="B80" s="55"/>
      <c r="C80" s="9"/>
      <c r="D80" s="9"/>
      <c r="E80" s="56">
        <f>B80+C80+D80</f>
        <v>0</v>
      </c>
      <c r="F80" s="55"/>
      <c r="G80" s="18">
        <f>8006-53.7</f>
        <v>7952.3</v>
      </c>
      <c r="H80" s="115">
        <f>E80+F80+G80</f>
        <v>7952.3</v>
      </c>
      <c r="I80" s="9"/>
      <c r="J80" s="9"/>
      <c r="K80" s="56">
        <f>H80+I80+J80</f>
        <v>7952.3</v>
      </c>
      <c r="L80" s="55"/>
      <c r="M80" s="9"/>
      <c r="N80" s="56">
        <f>K80+L80+M80</f>
        <v>7952.3</v>
      </c>
    </row>
    <row r="81" spans="1:14" ht="16.5" thickBot="1">
      <c r="A81" s="81" t="s">
        <v>74</v>
      </c>
      <c r="B81" s="126">
        <f>B11+B14+B40+B80+B65+B34+B77</f>
        <v>2975179</v>
      </c>
      <c r="C81" s="12">
        <f>C11+C14+C40+C80+C65+C34</f>
        <v>1502411.1</v>
      </c>
      <c r="D81" s="12">
        <f>D11+D14+D40+D80+D65+D34</f>
        <v>2416.4</v>
      </c>
      <c r="E81" s="142">
        <f>E11+E14+E40+E80+E65+E34+E77</f>
        <v>4480006.500000001</v>
      </c>
      <c r="F81" s="59">
        <f>F11+F14+F40+F80+F65+F34+F77</f>
        <v>1396573.5000000002</v>
      </c>
      <c r="G81" s="126">
        <f>G11+G14+G40+G80+G65+G34+G77</f>
        <v>12409.8</v>
      </c>
      <c r="H81" s="167">
        <f>H11+H14+H40+H80+H65+H34+H77</f>
        <v>5888989.8</v>
      </c>
      <c r="I81" s="12">
        <f>I11+I14+I40+I80+I65+I34+I77</f>
        <v>1283721.1999999997</v>
      </c>
      <c r="J81" s="12">
        <f>J11+J14+J40+J80+J65+J34</f>
        <v>0</v>
      </c>
      <c r="K81" s="60">
        <f>K11+K14+K40+K80+K65+K34+K77</f>
        <v>7172710.999999999</v>
      </c>
      <c r="L81" s="59">
        <f>L11+L14+L40+L80+L65+L34</f>
        <v>0</v>
      </c>
      <c r="M81" s="12">
        <f>M11+M14+M40+M80+M65+M34</f>
        <v>0</v>
      </c>
      <c r="N81" s="60">
        <f>N11+N14+N40+N80+N65+N34</f>
        <v>6877791.999999999</v>
      </c>
    </row>
    <row r="82" spans="1:14" ht="12.75">
      <c r="A82" s="73" t="s">
        <v>75</v>
      </c>
      <c r="B82" s="51"/>
      <c r="C82" s="8"/>
      <c r="D82" s="8"/>
      <c r="E82" s="54"/>
      <c r="F82" s="53"/>
      <c r="G82" s="106"/>
      <c r="H82" s="15"/>
      <c r="I82" s="8"/>
      <c r="J82" s="8"/>
      <c r="K82" s="54"/>
      <c r="L82" s="53"/>
      <c r="M82" s="8"/>
      <c r="N82" s="54"/>
    </row>
    <row r="83" spans="1:14" ht="12.75">
      <c r="A83" s="73" t="s">
        <v>76</v>
      </c>
      <c r="B83" s="51">
        <f>B84+B92</f>
        <v>41579</v>
      </c>
      <c r="C83" s="7">
        <f aca="true" t="shared" si="18" ref="C83:N83">C84+C92</f>
        <v>6350</v>
      </c>
      <c r="D83" s="7">
        <f t="shared" si="18"/>
        <v>0</v>
      </c>
      <c r="E83" s="52">
        <f t="shared" si="18"/>
        <v>47929</v>
      </c>
      <c r="F83" s="51">
        <f t="shared" si="18"/>
        <v>2000</v>
      </c>
      <c r="G83" s="125">
        <f t="shared" si="18"/>
        <v>2000</v>
      </c>
      <c r="H83" s="166">
        <f t="shared" si="18"/>
        <v>51929</v>
      </c>
      <c r="I83" s="7">
        <f t="shared" si="18"/>
        <v>1974</v>
      </c>
      <c r="J83" s="7">
        <f t="shared" si="18"/>
        <v>0</v>
      </c>
      <c r="K83" s="52">
        <f t="shared" si="18"/>
        <v>53903</v>
      </c>
      <c r="L83" s="51">
        <f t="shared" si="18"/>
        <v>0</v>
      </c>
      <c r="M83" s="7">
        <f t="shared" si="18"/>
        <v>0</v>
      </c>
      <c r="N83" s="52">
        <f t="shared" si="18"/>
        <v>53903</v>
      </c>
    </row>
    <row r="84" spans="1:14" ht="12.75">
      <c r="A84" s="82" t="s">
        <v>77</v>
      </c>
      <c r="B84" s="61">
        <f aca="true" t="shared" si="19" ref="B84:N84">SUM(B86:B91)</f>
        <v>41579</v>
      </c>
      <c r="C84" s="13">
        <f t="shared" si="19"/>
        <v>6350</v>
      </c>
      <c r="D84" s="13">
        <f t="shared" si="19"/>
        <v>0</v>
      </c>
      <c r="E84" s="62">
        <f t="shared" si="19"/>
        <v>47929</v>
      </c>
      <c r="F84" s="61">
        <f t="shared" si="19"/>
        <v>2000</v>
      </c>
      <c r="G84" s="127">
        <f t="shared" si="19"/>
        <v>2000</v>
      </c>
      <c r="H84" s="168">
        <f t="shared" si="19"/>
        <v>51929</v>
      </c>
      <c r="I84" s="13">
        <f t="shared" si="19"/>
        <v>1974</v>
      </c>
      <c r="J84" s="13">
        <f t="shared" si="19"/>
        <v>0</v>
      </c>
      <c r="K84" s="62">
        <f t="shared" si="19"/>
        <v>53903</v>
      </c>
      <c r="L84" s="61">
        <f t="shared" si="19"/>
        <v>0</v>
      </c>
      <c r="M84" s="13">
        <f t="shared" si="19"/>
        <v>0</v>
      </c>
      <c r="N84" s="62">
        <f t="shared" si="19"/>
        <v>53903</v>
      </c>
    </row>
    <row r="85" spans="1:14" ht="12.75">
      <c r="A85" s="78" t="s">
        <v>47</v>
      </c>
      <c r="B85" s="53"/>
      <c r="C85" s="8"/>
      <c r="D85" s="8"/>
      <c r="E85" s="54"/>
      <c r="F85" s="53"/>
      <c r="G85" s="106"/>
      <c r="H85" s="15"/>
      <c r="I85" s="8"/>
      <c r="J85" s="8"/>
      <c r="K85" s="54"/>
      <c r="L85" s="53"/>
      <c r="M85" s="8"/>
      <c r="N85" s="54"/>
    </row>
    <row r="86" spans="1:14" ht="12.75">
      <c r="A86" s="76" t="s">
        <v>218</v>
      </c>
      <c r="B86" s="53">
        <v>18746.2</v>
      </c>
      <c r="C86" s="8"/>
      <c r="D86" s="8"/>
      <c r="E86" s="54">
        <f>B86+C86</f>
        <v>18746.2</v>
      </c>
      <c r="F86" s="53"/>
      <c r="G86" s="106"/>
      <c r="H86" s="15">
        <f aca="true" t="shared" si="20" ref="H86:H91">E86+F86+G86</f>
        <v>18746.2</v>
      </c>
      <c r="I86" s="8"/>
      <c r="J86" s="8"/>
      <c r="K86" s="54">
        <f aca="true" t="shared" si="21" ref="K86:K91">H86+I86+J86</f>
        <v>18746.2</v>
      </c>
      <c r="L86" s="53"/>
      <c r="M86" s="8"/>
      <c r="N86" s="54">
        <f aca="true" t="shared" si="22" ref="N86:N91">K86+L86+M86</f>
        <v>18746.2</v>
      </c>
    </row>
    <row r="87" spans="1:14" ht="12.75">
      <c r="A87" s="76" t="s">
        <v>78</v>
      </c>
      <c r="B87" s="53">
        <v>4767</v>
      </c>
      <c r="C87" s="8"/>
      <c r="D87" s="8"/>
      <c r="E87" s="54">
        <f>B87+C87</f>
        <v>4767</v>
      </c>
      <c r="F87" s="53"/>
      <c r="G87" s="106"/>
      <c r="H87" s="15">
        <f t="shared" si="20"/>
        <v>4767</v>
      </c>
      <c r="I87" s="8"/>
      <c r="J87" s="8"/>
      <c r="K87" s="54">
        <f t="shared" si="21"/>
        <v>4767</v>
      </c>
      <c r="L87" s="53"/>
      <c r="M87" s="8"/>
      <c r="N87" s="54">
        <f t="shared" si="22"/>
        <v>4767</v>
      </c>
    </row>
    <row r="88" spans="1:14" ht="12.75">
      <c r="A88" s="76" t="s">
        <v>79</v>
      </c>
      <c r="B88" s="53">
        <v>1206</v>
      </c>
      <c r="C88" s="8"/>
      <c r="D88" s="8"/>
      <c r="E88" s="54">
        <f>B88+C88+D88</f>
        <v>1206</v>
      </c>
      <c r="F88" s="53"/>
      <c r="G88" s="106"/>
      <c r="H88" s="15">
        <f t="shared" si="20"/>
        <v>1206</v>
      </c>
      <c r="I88" s="8"/>
      <c r="J88" s="8"/>
      <c r="K88" s="54">
        <f t="shared" si="21"/>
        <v>1206</v>
      </c>
      <c r="L88" s="53"/>
      <c r="M88" s="8"/>
      <c r="N88" s="54">
        <f t="shared" si="22"/>
        <v>1206</v>
      </c>
    </row>
    <row r="89" spans="1:14" ht="12.75">
      <c r="A89" s="76" t="s">
        <v>80</v>
      </c>
      <c r="B89" s="53">
        <v>8104.8</v>
      </c>
      <c r="C89" s="8">
        <v>3300</v>
      </c>
      <c r="D89" s="8"/>
      <c r="E89" s="54">
        <f>B89+C89+D89</f>
        <v>11404.8</v>
      </c>
      <c r="F89" s="53"/>
      <c r="G89" s="106"/>
      <c r="H89" s="15">
        <f t="shared" si="20"/>
        <v>11404.8</v>
      </c>
      <c r="I89" s="8">
        <v>-26</v>
      </c>
      <c r="J89" s="8"/>
      <c r="K89" s="54">
        <f t="shared" si="21"/>
        <v>11378.8</v>
      </c>
      <c r="L89" s="53"/>
      <c r="M89" s="8"/>
      <c r="N89" s="54">
        <f t="shared" si="22"/>
        <v>11378.8</v>
      </c>
    </row>
    <row r="90" spans="1:14" ht="12.75">
      <c r="A90" s="76" t="s">
        <v>81</v>
      </c>
      <c r="B90" s="53">
        <v>2000</v>
      </c>
      <c r="C90" s="8"/>
      <c r="D90" s="8"/>
      <c r="E90" s="54">
        <f>SUM(B90:D90)</f>
        <v>2000</v>
      </c>
      <c r="F90" s="53"/>
      <c r="G90" s="106"/>
      <c r="H90" s="15">
        <f t="shared" si="20"/>
        <v>2000</v>
      </c>
      <c r="I90" s="8"/>
      <c r="J90" s="8"/>
      <c r="K90" s="54">
        <f t="shared" si="21"/>
        <v>2000</v>
      </c>
      <c r="L90" s="53"/>
      <c r="M90" s="8"/>
      <c r="N90" s="54">
        <f t="shared" si="22"/>
        <v>2000</v>
      </c>
    </row>
    <row r="91" spans="1:14" ht="12.75">
      <c r="A91" s="79" t="s">
        <v>82</v>
      </c>
      <c r="B91" s="57">
        <v>6755</v>
      </c>
      <c r="C91" s="11">
        <v>3050</v>
      </c>
      <c r="D91" s="11"/>
      <c r="E91" s="58">
        <f>SUM(B91:D91)</f>
        <v>9805</v>
      </c>
      <c r="F91" s="57">
        <v>2000</v>
      </c>
      <c r="G91" s="17">
        <v>2000</v>
      </c>
      <c r="H91" s="169">
        <f t="shared" si="20"/>
        <v>13805</v>
      </c>
      <c r="I91" s="11">
        <v>2000</v>
      </c>
      <c r="J91" s="11"/>
      <c r="K91" s="58">
        <f t="shared" si="21"/>
        <v>15805</v>
      </c>
      <c r="L91" s="53"/>
      <c r="M91" s="8"/>
      <c r="N91" s="54">
        <f t="shared" si="22"/>
        <v>15805</v>
      </c>
    </row>
    <row r="92" spans="1:14" ht="12.75" hidden="1">
      <c r="A92" s="83" t="s">
        <v>83</v>
      </c>
      <c r="B92" s="63">
        <f>SUM(B94:B95)</f>
        <v>0</v>
      </c>
      <c r="C92" s="14">
        <f aca="true" t="shared" si="23" ref="C92:N92">SUM(C94:C95)</f>
        <v>0</v>
      </c>
      <c r="D92" s="14">
        <f t="shared" si="23"/>
        <v>0</v>
      </c>
      <c r="E92" s="64">
        <f t="shared" si="23"/>
        <v>0</v>
      </c>
      <c r="F92" s="63">
        <f t="shared" si="23"/>
        <v>0</v>
      </c>
      <c r="G92" s="128">
        <f t="shared" si="23"/>
        <v>0</v>
      </c>
      <c r="H92" s="147">
        <f t="shared" si="23"/>
        <v>0</v>
      </c>
      <c r="I92" s="14">
        <f t="shared" si="23"/>
        <v>0</v>
      </c>
      <c r="J92" s="14">
        <f t="shared" si="23"/>
        <v>0</v>
      </c>
      <c r="K92" s="64">
        <f t="shared" si="23"/>
        <v>0</v>
      </c>
      <c r="L92" s="63">
        <f t="shared" si="23"/>
        <v>0</v>
      </c>
      <c r="M92" s="14">
        <f t="shared" si="23"/>
        <v>0</v>
      </c>
      <c r="N92" s="64">
        <f t="shared" si="23"/>
        <v>0</v>
      </c>
    </row>
    <row r="93" spans="1:14" ht="12.75" hidden="1">
      <c r="A93" s="74" t="s">
        <v>47</v>
      </c>
      <c r="B93" s="55"/>
      <c r="C93" s="9"/>
      <c r="D93" s="9"/>
      <c r="E93" s="56"/>
      <c r="F93" s="55"/>
      <c r="G93" s="18"/>
      <c r="H93" s="115"/>
      <c r="I93" s="9"/>
      <c r="J93" s="9"/>
      <c r="K93" s="56"/>
      <c r="L93" s="55"/>
      <c r="M93" s="9"/>
      <c r="N93" s="56"/>
    </row>
    <row r="94" spans="1:14" ht="12.75" hidden="1">
      <c r="A94" s="75" t="s">
        <v>84</v>
      </c>
      <c r="B94" s="53"/>
      <c r="C94" s="8"/>
      <c r="D94" s="8"/>
      <c r="E94" s="54">
        <f>B94+C94</f>
        <v>0</v>
      </c>
      <c r="F94" s="53"/>
      <c r="G94" s="106"/>
      <c r="H94" s="15">
        <f>E94+F94+G94</f>
        <v>0</v>
      </c>
      <c r="I94" s="8"/>
      <c r="J94" s="8"/>
      <c r="K94" s="54">
        <f>H94+I94+J94</f>
        <v>0</v>
      </c>
      <c r="L94" s="53"/>
      <c r="M94" s="8"/>
      <c r="N94" s="54">
        <f>K94+L94+M94</f>
        <v>0</v>
      </c>
    </row>
    <row r="95" spans="1:14" ht="12.75" hidden="1">
      <c r="A95" s="79" t="s">
        <v>84</v>
      </c>
      <c r="B95" s="57"/>
      <c r="C95" s="11"/>
      <c r="D95" s="11"/>
      <c r="E95" s="58">
        <f>SUM(B95:D95)</f>
        <v>0</v>
      </c>
      <c r="F95" s="57"/>
      <c r="G95" s="17"/>
      <c r="H95" s="169">
        <f>E95+F95+G95</f>
        <v>0</v>
      </c>
      <c r="I95" s="11"/>
      <c r="J95" s="11"/>
      <c r="K95" s="58">
        <f>H95+I95+J95</f>
        <v>0</v>
      </c>
      <c r="L95" s="57"/>
      <c r="M95" s="11"/>
      <c r="N95" s="58">
        <f>K95+L95+M95</f>
        <v>0</v>
      </c>
    </row>
    <row r="96" spans="1:14" ht="12.75">
      <c r="A96" s="73" t="s">
        <v>85</v>
      </c>
      <c r="B96" s="51">
        <f aca="true" t="shared" si="24" ref="B96:N96">B97+B113</f>
        <v>289093</v>
      </c>
      <c r="C96" s="7">
        <f t="shared" si="24"/>
        <v>10440.8</v>
      </c>
      <c r="D96" s="7">
        <f t="shared" si="24"/>
        <v>500</v>
      </c>
      <c r="E96" s="52">
        <f t="shared" si="24"/>
        <v>300033.8</v>
      </c>
      <c r="F96" s="51">
        <f t="shared" si="24"/>
        <v>1074.9</v>
      </c>
      <c r="G96" s="125">
        <f t="shared" si="24"/>
        <v>0</v>
      </c>
      <c r="H96" s="166">
        <f t="shared" si="24"/>
        <v>301108.7</v>
      </c>
      <c r="I96" s="7">
        <f t="shared" si="24"/>
        <v>3062.6</v>
      </c>
      <c r="J96" s="7">
        <f t="shared" si="24"/>
        <v>0</v>
      </c>
      <c r="K96" s="52">
        <f t="shared" si="24"/>
        <v>304171.3</v>
      </c>
      <c r="L96" s="51">
        <f t="shared" si="24"/>
        <v>0</v>
      </c>
      <c r="M96" s="7">
        <f t="shared" si="24"/>
        <v>0</v>
      </c>
      <c r="N96" s="52">
        <f t="shared" si="24"/>
        <v>300283.8</v>
      </c>
    </row>
    <row r="97" spans="1:14" ht="12.75">
      <c r="A97" s="82" t="s">
        <v>77</v>
      </c>
      <c r="B97" s="61">
        <f>SUM(B99:B112)</f>
        <v>289093</v>
      </c>
      <c r="C97" s="13">
        <f aca="true" t="shared" si="25" ref="C97:N97">SUM(C99:C112)</f>
        <v>6134</v>
      </c>
      <c r="D97" s="13">
        <f t="shared" si="25"/>
        <v>0</v>
      </c>
      <c r="E97" s="62">
        <f t="shared" si="25"/>
        <v>295227</v>
      </c>
      <c r="F97" s="61">
        <f t="shared" si="25"/>
        <v>714.9</v>
      </c>
      <c r="G97" s="127">
        <f t="shared" si="25"/>
        <v>0</v>
      </c>
      <c r="H97" s="168">
        <f t="shared" si="25"/>
        <v>295941.9</v>
      </c>
      <c r="I97" s="13">
        <f t="shared" si="25"/>
        <v>3062.6</v>
      </c>
      <c r="J97" s="13">
        <f t="shared" si="25"/>
        <v>0</v>
      </c>
      <c r="K97" s="62">
        <f t="shared" si="25"/>
        <v>299004.5</v>
      </c>
      <c r="L97" s="61">
        <f t="shared" si="25"/>
        <v>0</v>
      </c>
      <c r="M97" s="13">
        <f t="shared" si="25"/>
        <v>0</v>
      </c>
      <c r="N97" s="62">
        <f t="shared" si="25"/>
        <v>295477</v>
      </c>
    </row>
    <row r="98" spans="1:14" ht="12.75">
      <c r="A98" s="78" t="s">
        <v>47</v>
      </c>
      <c r="B98" s="53"/>
      <c r="C98" s="8"/>
      <c r="D98" s="8"/>
      <c r="E98" s="54"/>
      <c r="F98" s="53"/>
      <c r="G98" s="106"/>
      <c r="H98" s="15"/>
      <c r="I98" s="8"/>
      <c r="J98" s="8"/>
      <c r="K98" s="54"/>
      <c r="L98" s="53"/>
      <c r="M98" s="8"/>
      <c r="N98" s="54"/>
    </row>
    <row r="99" spans="1:14" ht="12.75">
      <c r="A99" s="74" t="s">
        <v>219</v>
      </c>
      <c r="B99" s="53">
        <v>134207</v>
      </c>
      <c r="C99" s="8"/>
      <c r="D99" s="8"/>
      <c r="E99" s="54">
        <f>B99+C99+D99</f>
        <v>134207</v>
      </c>
      <c r="F99" s="53"/>
      <c r="G99" s="106"/>
      <c r="H99" s="15">
        <f>E99+F99+G99</f>
        <v>134207</v>
      </c>
      <c r="I99" s="8"/>
      <c r="J99" s="8"/>
      <c r="K99" s="54">
        <f>H99+I99+J99</f>
        <v>134207</v>
      </c>
      <c r="L99" s="53"/>
      <c r="M99" s="8"/>
      <c r="N99" s="54">
        <f>K99+L99+M99</f>
        <v>134207</v>
      </c>
    </row>
    <row r="100" spans="1:14" ht="12.75">
      <c r="A100" s="76" t="s">
        <v>78</v>
      </c>
      <c r="B100" s="53">
        <v>45436</v>
      </c>
      <c r="C100" s="8"/>
      <c r="D100" s="8"/>
      <c r="E100" s="54">
        <f aca="true" t="shared" si="26" ref="E100:E112">B100+C100+D100</f>
        <v>45436</v>
      </c>
      <c r="F100" s="53"/>
      <c r="G100" s="106"/>
      <c r="H100" s="15">
        <f aca="true" t="shared" si="27" ref="H100:H112">E100+F100+G100</f>
        <v>45436</v>
      </c>
      <c r="I100" s="8"/>
      <c r="J100" s="8"/>
      <c r="K100" s="54">
        <f aca="true" t="shared" si="28" ref="K100:K112">H100+I100+J100</f>
        <v>45436</v>
      </c>
      <c r="L100" s="53"/>
      <c r="M100" s="8"/>
      <c r="N100" s="54">
        <f aca="true" t="shared" si="29" ref="N100:N112">K100+L100+M100</f>
        <v>45436</v>
      </c>
    </row>
    <row r="101" spans="1:14" ht="12.75">
      <c r="A101" s="76" t="s">
        <v>86</v>
      </c>
      <c r="B101" s="53">
        <v>200</v>
      </c>
      <c r="C101" s="8"/>
      <c r="D101" s="8"/>
      <c r="E101" s="54">
        <f t="shared" si="26"/>
        <v>200</v>
      </c>
      <c r="F101" s="53"/>
      <c r="G101" s="106"/>
      <c r="H101" s="15">
        <f t="shared" si="27"/>
        <v>200</v>
      </c>
      <c r="I101" s="8"/>
      <c r="J101" s="8"/>
      <c r="K101" s="54">
        <f t="shared" si="28"/>
        <v>200</v>
      </c>
      <c r="L101" s="53"/>
      <c r="M101" s="8"/>
      <c r="N101" s="54">
        <f t="shared" si="29"/>
        <v>200</v>
      </c>
    </row>
    <row r="102" spans="1:14" ht="12.75">
      <c r="A102" s="76" t="s">
        <v>80</v>
      </c>
      <c r="B102" s="53">
        <v>35808</v>
      </c>
      <c r="C102" s="8">
        <v>800</v>
      </c>
      <c r="D102" s="8"/>
      <c r="E102" s="54">
        <f t="shared" si="26"/>
        <v>36608</v>
      </c>
      <c r="F102" s="53"/>
      <c r="G102" s="106"/>
      <c r="H102" s="15">
        <f t="shared" si="27"/>
        <v>36608</v>
      </c>
      <c r="I102" s="8"/>
      <c r="J102" s="8"/>
      <c r="K102" s="54">
        <f t="shared" si="28"/>
        <v>36608</v>
      </c>
      <c r="L102" s="53"/>
      <c r="M102" s="8"/>
      <c r="N102" s="54">
        <f t="shared" si="29"/>
        <v>36608</v>
      </c>
    </row>
    <row r="103" spans="1:14" ht="12.75">
      <c r="A103" s="76" t="s">
        <v>87</v>
      </c>
      <c r="B103" s="53">
        <v>152</v>
      </c>
      <c r="C103" s="8"/>
      <c r="D103" s="8"/>
      <c r="E103" s="54">
        <f t="shared" si="26"/>
        <v>152</v>
      </c>
      <c r="F103" s="53"/>
      <c r="G103" s="106"/>
      <c r="H103" s="15">
        <f t="shared" si="27"/>
        <v>152</v>
      </c>
      <c r="I103" s="8"/>
      <c r="J103" s="8"/>
      <c r="K103" s="54">
        <f t="shared" si="28"/>
        <v>152</v>
      </c>
      <c r="L103" s="53"/>
      <c r="M103" s="8"/>
      <c r="N103" s="54">
        <f t="shared" si="29"/>
        <v>152</v>
      </c>
    </row>
    <row r="104" spans="1:14" ht="12.75">
      <c r="A104" s="76" t="s">
        <v>88</v>
      </c>
      <c r="B104" s="53">
        <v>40</v>
      </c>
      <c r="C104" s="8"/>
      <c r="D104" s="8"/>
      <c r="E104" s="54">
        <f t="shared" si="26"/>
        <v>40</v>
      </c>
      <c r="F104" s="53"/>
      <c r="G104" s="106"/>
      <c r="H104" s="15">
        <f t="shared" si="27"/>
        <v>40</v>
      </c>
      <c r="I104" s="8"/>
      <c r="J104" s="8"/>
      <c r="K104" s="54">
        <f t="shared" si="28"/>
        <v>40</v>
      </c>
      <c r="L104" s="53"/>
      <c r="M104" s="8"/>
      <c r="N104" s="54">
        <f t="shared" si="29"/>
        <v>40</v>
      </c>
    </row>
    <row r="105" spans="1:14" ht="12.75">
      <c r="A105" s="76" t="s">
        <v>89</v>
      </c>
      <c r="B105" s="53">
        <v>73250</v>
      </c>
      <c r="C105" s="8"/>
      <c r="D105" s="8"/>
      <c r="E105" s="54">
        <f t="shared" si="26"/>
        <v>73250</v>
      </c>
      <c r="F105" s="53"/>
      <c r="G105" s="106"/>
      <c r="H105" s="15">
        <f t="shared" si="27"/>
        <v>73250</v>
      </c>
      <c r="I105" s="8"/>
      <c r="J105" s="8"/>
      <c r="K105" s="54">
        <f t="shared" si="28"/>
        <v>73250</v>
      </c>
      <c r="L105" s="53"/>
      <c r="M105" s="8"/>
      <c r="N105" s="54">
        <f t="shared" si="29"/>
        <v>73250</v>
      </c>
    </row>
    <row r="106" spans="1:14" ht="12.75">
      <c r="A106" s="76" t="s">
        <v>113</v>
      </c>
      <c r="B106" s="53"/>
      <c r="C106" s="8">
        <f>150+5184</f>
        <v>5334</v>
      </c>
      <c r="D106" s="8"/>
      <c r="E106" s="54">
        <f t="shared" si="26"/>
        <v>5334</v>
      </c>
      <c r="F106" s="53"/>
      <c r="G106" s="106"/>
      <c r="H106" s="15">
        <f t="shared" si="27"/>
        <v>5334</v>
      </c>
      <c r="I106" s="8"/>
      <c r="J106" s="8"/>
      <c r="K106" s="54">
        <f t="shared" si="28"/>
        <v>5334</v>
      </c>
      <c r="L106" s="53"/>
      <c r="M106" s="8"/>
      <c r="N106" s="54">
        <f t="shared" si="29"/>
        <v>5334</v>
      </c>
    </row>
    <row r="107" spans="1:14" ht="12.75" hidden="1">
      <c r="A107" s="76" t="s">
        <v>90</v>
      </c>
      <c r="B107" s="53"/>
      <c r="C107" s="8"/>
      <c r="D107" s="8"/>
      <c r="E107" s="54">
        <f t="shared" si="26"/>
        <v>0</v>
      </c>
      <c r="F107" s="53">
        <v>0</v>
      </c>
      <c r="G107" s="106"/>
      <c r="H107" s="15">
        <f t="shared" si="27"/>
        <v>0</v>
      </c>
      <c r="I107" s="8"/>
      <c r="J107" s="8"/>
      <c r="K107" s="54">
        <f t="shared" si="28"/>
        <v>0</v>
      </c>
      <c r="L107" s="53"/>
      <c r="M107" s="8"/>
      <c r="N107" s="54">
        <f t="shared" si="29"/>
        <v>0</v>
      </c>
    </row>
    <row r="108" spans="1:14" ht="12.75" hidden="1">
      <c r="A108" s="76" t="s">
        <v>91</v>
      </c>
      <c r="B108" s="53"/>
      <c r="C108" s="8"/>
      <c r="D108" s="8"/>
      <c r="E108" s="54">
        <f t="shared" si="26"/>
        <v>0</v>
      </c>
      <c r="F108" s="53"/>
      <c r="G108" s="106"/>
      <c r="H108" s="15">
        <f t="shared" si="27"/>
        <v>0</v>
      </c>
      <c r="I108" s="8"/>
      <c r="J108" s="8"/>
      <c r="K108" s="54">
        <f t="shared" si="28"/>
        <v>0</v>
      </c>
      <c r="L108" s="53"/>
      <c r="M108" s="8"/>
      <c r="N108" s="54">
        <f t="shared" si="29"/>
        <v>0</v>
      </c>
    </row>
    <row r="109" spans="1:14" ht="12.75">
      <c r="A109" s="76" t="s">
        <v>268</v>
      </c>
      <c r="B109" s="53"/>
      <c r="C109" s="8"/>
      <c r="D109" s="8"/>
      <c r="E109" s="54">
        <f t="shared" si="26"/>
        <v>0</v>
      </c>
      <c r="F109" s="53">
        <v>364.9</v>
      </c>
      <c r="G109" s="106"/>
      <c r="H109" s="15">
        <f t="shared" si="27"/>
        <v>364.9</v>
      </c>
      <c r="I109" s="8"/>
      <c r="J109" s="8"/>
      <c r="K109" s="54">
        <f t="shared" si="28"/>
        <v>364.9</v>
      </c>
      <c r="L109" s="53"/>
      <c r="M109" s="8"/>
      <c r="N109" s="54"/>
    </row>
    <row r="110" spans="1:14" ht="12.75">
      <c r="A110" s="85" t="s">
        <v>283</v>
      </c>
      <c r="B110" s="53"/>
      <c r="C110" s="8"/>
      <c r="D110" s="8"/>
      <c r="E110" s="54"/>
      <c r="F110" s="53"/>
      <c r="G110" s="106"/>
      <c r="H110" s="15">
        <f t="shared" si="27"/>
        <v>0</v>
      </c>
      <c r="I110" s="8">
        <v>3062.6</v>
      </c>
      <c r="J110" s="8"/>
      <c r="K110" s="54">
        <f t="shared" si="28"/>
        <v>3062.6</v>
      </c>
      <c r="L110" s="53"/>
      <c r="M110" s="8"/>
      <c r="N110" s="54"/>
    </row>
    <row r="111" spans="1:14" ht="12.75">
      <c r="A111" s="76" t="s">
        <v>260</v>
      </c>
      <c r="B111" s="53"/>
      <c r="C111" s="8"/>
      <c r="D111" s="8"/>
      <c r="E111" s="54">
        <f t="shared" si="26"/>
        <v>0</v>
      </c>
      <c r="F111" s="53">
        <v>100</v>
      </c>
      <c r="G111" s="106"/>
      <c r="H111" s="15">
        <f t="shared" si="27"/>
        <v>100</v>
      </c>
      <c r="I111" s="8"/>
      <c r="J111" s="8"/>
      <c r="K111" s="54">
        <f t="shared" si="28"/>
        <v>100</v>
      </c>
      <c r="L111" s="53"/>
      <c r="M111" s="8"/>
      <c r="N111" s="54"/>
    </row>
    <row r="112" spans="1:14" ht="12.75">
      <c r="A112" s="76" t="s">
        <v>92</v>
      </c>
      <c r="B112" s="53"/>
      <c r="C112" s="8"/>
      <c r="D112" s="8"/>
      <c r="E112" s="54">
        <f t="shared" si="26"/>
        <v>0</v>
      </c>
      <c r="F112" s="53">
        <v>250</v>
      </c>
      <c r="G112" s="106"/>
      <c r="H112" s="15">
        <f t="shared" si="27"/>
        <v>250</v>
      </c>
      <c r="I112" s="8"/>
      <c r="J112" s="8"/>
      <c r="K112" s="54">
        <f t="shared" si="28"/>
        <v>250</v>
      </c>
      <c r="L112" s="53"/>
      <c r="M112" s="8"/>
      <c r="N112" s="54">
        <f t="shared" si="29"/>
        <v>250</v>
      </c>
    </row>
    <row r="113" spans="1:14" ht="12.75">
      <c r="A113" s="82" t="s">
        <v>83</v>
      </c>
      <c r="B113" s="61">
        <f>B116+B115</f>
        <v>0</v>
      </c>
      <c r="C113" s="13">
        <f aca="true" t="shared" si="30" ref="C113:N113">C116</f>
        <v>4306.8</v>
      </c>
      <c r="D113" s="13">
        <f t="shared" si="30"/>
        <v>500</v>
      </c>
      <c r="E113" s="62">
        <f>E116+E115</f>
        <v>4806.8</v>
      </c>
      <c r="F113" s="61">
        <f>F116+F115</f>
        <v>360</v>
      </c>
      <c r="G113" s="127">
        <f t="shared" si="30"/>
        <v>0</v>
      </c>
      <c r="H113" s="168">
        <f>H116+H115</f>
        <v>5166.8</v>
      </c>
      <c r="I113" s="13">
        <f>I116+I115</f>
        <v>0</v>
      </c>
      <c r="J113" s="13">
        <f t="shared" si="30"/>
        <v>0</v>
      </c>
      <c r="K113" s="62">
        <f>K116+K115</f>
        <v>5166.8</v>
      </c>
      <c r="L113" s="61">
        <f t="shared" si="30"/>
        <v>0</v>
      </c>
      <c r="M113" s="13">
        <f t="shared" si="30"/>
        <v>0</v>
      </c>
      <c r="N113" s="62">
        <f t="shared" si="30"/>
        <v>4806.8</v>
      </c>
    </row>
    <row r="114" spans="1:14" ht="12.75">
      <c r="A114" s="78" t="s">
        <v>47</v>
      </c>
      <c r="B114" s="53"/>
      <c r="C114" s="8"/>
      <c r="D114" s="8"/>
      <c r="E114" s="52"/>
      <c r="F114" s="53"/>
      <c r="G114" s="106"/>
      <c r="H114" s="166"/>
      <c r="I114" s="8"/>
      <c r="J114" s="8"/>
      <c r="K114" s="52"/>
      <c r="L114" s="53"/>
      <c r="M114" s="8"/>
      <c r="N114" s="52"/>
    </row>
    <row r="115" spans="1:14" ht="12.75">
      <c r="A115" s="80" t="s">
        <v>84</v>
      </c>
      <c r="B115" s="53"/>
      <c r="C115" s="8"/>
      <c r="D115" s="8"/>
      <c r="E115" s="54">
        <f>B115+C115+D115</f>
        <v>0</v>
      </c>
      <c r="F115" s="53">
        <v>360</v>
      </c>
      <c r="G115" s="106"/>
      <c r="H115" s="15">
        <f>E115+F115+G115</f>
        <v>360</v>
      </c>
      <c r="I115" s="8"/>
      <c r="J115" s="8"/>
      <c r="K115" s="54">
        <f>H115+I115+J115</f>
        <v>360</v>
      </c>
      <c r="L115" s="53"/>
      <c r="M115" s="8"/>
      <c r="N115" s="52"/>
    </row>
    <row r="116" spans="1:14" ht="12.75">
      <c r="A116" s="79" t="s">
        <v>114</v>
      </c>
      <c r="B116" s="57"/>
      <c r="C116" s="11">
        <f>1300+3006.8</f>
        <v>4306.8</v>
      </c>
      <c r="D116" s="11">
        <v>500</v>
      </c>
      <c r="E116" s="58">
        <f>B116+C116+D116</f>
        <v>4806.8</v>
      </c>
      <c r="F116" s="57"/>
      <c r="G116" s="17"/>
      <c r="H116" s="169">
        <f>E116+F116+G116</f>
        <v>4806.8</v>
      </c>
      <c r="I116" s="11"/>
      <c r="J116" s="11"/>
      <c r="K116" s="58">
        <f>H116+I116+J116</f>
        <v>4806.8</v>
      </c>
      <c r="L116" s="57"/>
      <c r="M116" s="11"/>
      <c r="N116" s="58">
        <f>K116+L116+M116</f>
        <v>4806.8</v>
      </c>
    </row>
    <row r="117" spans="1:14" ht="12.75">
      <c r="A117" s="73" t="s">
        <v>93</v>
      </c>
      <c r="B117" s="51">
        <f aca="true" t="shared" si="31" ref="B117:N117">B118+B128</f>
        <v>130113</v>
      </c>
      <c r="C117" s="7">
        <f t="shared" si="31"/>
        <v>35857.1</v>
      </c>
      <c r="D117" s="7">
        <f t="shared" si="31"/>
        <v>0</v>
      </c>
      <c r="E117" s="52">
        <f t="shared" si="31"/>
        <v>165970.1</v>
      </c>
      <c r="F117" s="51">
        <f t="shared" si="31"/>
        <v>765.5</v>
      </c>
      <c r="G117" s="125">
        <f t="shared" si="31"/>
        <v>26155.9</v>
      </c>
      <c r="H117" s="166">
        <f t="shared" si="31"/>
        <v>192891.5</v>
      </c>
      <c r="I117" s="7">
        <f t="shared" si="31"/>
        <v>21101.1</v>
      </c>
      <c r="J117" s="7">
        <f t="shared" si="31"/>
        <v>0</v>
      </c>
      <c r="K117" s="52">
        <f t="shared" si="31"/>
        <v>213992.6</v>
      </c>
      <c r="L117" s="51">
        <f t="shared" si="31"/>
        <v>0</v>
      </c>
      <c r="M117" s="7">
        <f t="shared" si="31"/>
        <v>0</v>
      </c>
      <c r="N117" s="52">
        <f t="shared" si="31"/>
        <v>210724.6</v>
      </c>
    </row>
    <row r="118" spans="1:14" ht="12.75">
      <c r="A118" s="82" t="s">
        <v>77</v>
      </c>
      <c r="B118" s="61">
        <f aca="true" t="shared" si="32" ref="B118:N118">SUM(B120:B126)</f>
        <v>85113</v>
      </c>
      <c r="C118" s="13">
        <f t="shared" si="32"/>
        <v>16423</v>
      </c>
      <c r="D118" s="13">
        <f t="shared" si="32"/>
        <v>438</v>
      </c>
      <c r="E118" s="62">
        <f t="shared" si="32"/>
        <v>101974</v>
      </c>
      <c r="F118" s="61">
        <f t="shared" si="32"/>
        <v>565.5</v>
      </c>
      <c r="G118" s="127">
        <f t="shared" si="32"/>
        <v>326</v>
      </c>
      <c r="H118" s="168">
        <f t="shared" si="32"/>
        <v>102865.5</v>
      </c>
      <c r="I118" s="13">
        <f t="shared" si="32"/>
        <v>1911.1</v>
      </c>
      <c r="J118" s="13">
        <f t="shared" si="32"/>
        <v>0</v>
      </c>
      <c r="K118" s="62">
        <f t="shared" si="32"/>
        <v>104776.6</v>
      </c>
      <c r="L118" s="61">
        <f t="shared" si="32"/>
        <v>0</v>
      </c>
      <c r="M118" s="13">
        <f t="shared" si="32"/>
        <v>0</v>
      </c>
      <c r="N118" s="62">
        <f t="shared" si="32"/>
        <v>103066.6</v>
      </c>
    </row>
    <row r="119" spans="1:14" ht="12.75">
      <c r="A119" s="78" t="s">
        <v>47</v>
      </c>
      <c r="B119" s="53"/>
      <c r="C119" s="8"/>
      <c r="D119" s="8"/>
      <c r="E119" s="52"/>
      <c r="F119" s="53"/>
      <c r="G119" s="106"/>
      <c r="H119" s="166"/>
      <c r="I119" s="8"/>
      <c r="J119" s="8"/>
      <c r="K119" s="52"/>
      <c r="L119" s="53"/>
      <c r="M119" s="8"/>
      <c r="N119" s="52"/>
    </row>
    <row r="120" spans="1:14" ht="12.75">
      <c r="A120" s="80" t="s">
        <v>94</v>
      </c>
      <c r="B120" s="65">
        <v>43213</v>
      </c>
      <c r="C120" s="15"/>
      <c r="D120" s="15"/>
      <c r="E120" s="54">
        <f>B120+C120+D120</f>
        <v>43213</v>
      </c>
      <c r="F120" s="53"/>
      <c r="G120" s="129"/>
      <c r="H120" s="15">
        <f>E120+F120+G120</f>
        <v>43213</v>
      </c>
      <c r="I120" s="8"/>
      <c r="J120" s="15"/>
      <c r="K120" s="54">
        <f>H120+I120+J120</f>
        <v>43213</v>
      </c>
      <c r="L120" s="65"/>
      <c r="M120" s="15"/>
      <c r="N120" s="54">
        <f>K120+L120+M120</f>
        <v>43213</v>
      </c>
    </row>
    <row r="121" spans="1:14" ht="12.75">
      <c r="A121" s="76" t="s">
        <v>80</v>
      </c>
      <c r="B121" s="53">
        <v>41900</v>
      </c>
      <c r="C121" s="8"/>
      <c r="D121" s="8"/>
      <c r="E121" s="54">
        <f aca="true" t="shared" si="33" ref="E121:E127">B121+C121+D121</f>
        <v>41900</v>
      </c>
      <c r="F121" s="53"/>
      <c r="G121" s="106">
        <f>-700-70</f>
        <v>-770</v>
      </c>
      <c r="H121" s="15">
        <f aca="true" t="shared" si="34" ref="H121:H127">E121+F121+G121</f>
        <v>41130</v>
      </c>
      <c r="I121" s="8">
        <v>-190</v>
      </c>
      <c r="J121" s="8"/>
      <c r="K121" s="54">
        <f aca="true" t="shared" si="35" ref="K121:K127">H121+I121+J121</f>
        <v>40940</v>
      </c>
      <c r="L121" s="53"/>
      <c r="M121" s="8"/>
      <c r="N121" s="54">
        <f aca="true" t="shared" si="36" ref="N121:N127">K121+L121+M121</f>
        <v>40940</v>
      </c>
    </row>
    <row r="122" spans="1:14" ht="12.75">
      <c r="A122" s="76" t="s">
        <v>95</v>
      </c>
      <c r="B122" s="53"/>
      <c r="C122" s="8"/>
      <c r="D122" s="8"/>
      <c r="E122" s="54">
        <f t="shared" si="33"/>
        <v>0</v>
      </c>
      <c r="F122" s="53"/>
      <c r="G122" s="106">
        <f>100+70</f>
        <v>170</v>
      </c>
      <c r="H122" s="15">
        <f t="shared" si="34"/>
        <v>170</v>
      </c>
      <c r="I122" s="8"/>
      <c r="J122" s="8"/>
      <c r="K122" s="54">
        <f t="shared" si="35"/>
        <v>170</v>
      </c>
      <c r="L122" s="53"/>
      <c r="M122" s="8"/>
      <c r="N122" s="54">
        <f t="shared" si="36"/>
        <v>170</v>
      </c>
    </row>
    <row r="123" spans="1:14" ht="12.75">
      <c r="A123" s="76" t="s">
        <v>97</v>
      </c>
      <c r="B123" s="53"/>
      <c r="C123" s="8"/>
      <c r="D123" s="8"/>
      <c r="E123" s="54">
        <f t="shared" si="33"/>
        <v>0</v>
      </c>
      <c r="F123" s="53">
        <v>565.5</v>
      </c>
      <c r="G123" s="106"/>
      <c r="H123" s="15">
        <f t="shared" si="34"/>
        <v>565.5</v>
      </c>
      <c r="I123" s="8">
        <f>267.7+61.9+61.5</f>
        <v>391.09999999999997</v>
      </c>
      <c r="J123" s="8"/>
      <c r="K123" s="54">
        <f t="shared" si="35"/>
        <v>956.5999999999999</v>
      </c>
      <c r="L123" s="53"/>
      <c r="M123" s="8"/>
      <c r="N123" s="54">
        <f t="shared" si="36"/>
        <v>956.5999999999999</v>
      </c>
    </row>
    <row r="124" spans="1:14" ht="12.75">
      <c r="A124" s="76" t="s">
        <v>274</v>
      </c>
      <c r="B124" s="53"/>
      <c r="C124" s="8"/>
      <c r="D124" s="8"/>
      <c r="E124" s="54"/>
      <c r="F124" s="53"/>
      <c r="G124" s="106"/>
      <c r="H124" s="15">
        <f t="shared" si="34"/>
        <v>0</v>
      </c>
      <c r="I124" s="8">
        <f>256.5+1453.5</f>
        <v>1710</v>
      </c>
      <c r="J124" s="8"/>
      <c r="K124" s="54">
        <f t="shared" si="35"/>
        <v>1710</v>
      </c>
      <c r="L124" s="53"/>
      <c r="M124" s="8"/>
      <c r="N124" s="54"/>
    </row>
    <row r="125" spans="1:14" ht="12.75">
      <c r="A125" s="76" t="s">
        <v>113</v>
      </c>
      <c r="B125" s="53"/>
      <c r="C125" s="8">
        <v>16299.1</v>
      </c>
      <c r="D125" s="8"/>
      <c r="E125" s="54">
        <f t="shared" si="33"/>
        <v>16299.1</v>
      </c>
      <c r="F125" s="53"/>
      <c r="G125" s="106"/>
      <c r="H125" s="15">
        <f t="shared" si="34"/>
        <v>16299.1</v>
      </c>
      <c r="I125" s="8"/>
      <c r="J125" s="8"/>
      <c r="K125" s="54">
        <f t="shared" si="35"/>
        <v>16299.1</v>
      </c>
      <c r="L125" s="53"/>
      <c r="M125" s="8"/>
      <c r="N125" s="54">
        <f t="shared" si="36"/>
        <v>16299.1</v>
      </c>
    </row>
    <row r="126" spans="1:14" ht="12.75">
      <c r="A126" s="75" t="s">
        <v>100</v>
      </c>
      <c r="B126" s="53"/>
      <c r="C126" s="8">
        <v>123.9</v>
      </c>
      <c r="D126" s="8">
        <v>438</v>
      </c>
      <c r="E126" s="54">
        <f t="shared" si="33"/>
        <v>561.9</v>
      </c>
      <c r="F126" s="53"/>
      <c r="G126" s="106">
        <f>126+800</f>
        <v>926</v>
      </c>
      <c r="H126" s="15">
        <f t="shared" si="34"/>
        <v>1487.9</v>
      </c>
      <c r="I126" s="8"/>
      <c r="J126" s="8"/>
      <c r="K126" s="54">
        <f t="shared" si="35"/>
        <v>1487.9</v>
      </c>
      <c r="L126" s="53"/>
      <c r="M126" s="8"/>
      <c r="N126" s="54">
        <f t="shared" si="36"/>
        <v>1487.9</v>
      </c>
    </row>
    <row r="127" spans="1:14" ht="12.75">
      <c r="A127" s="75" t="s">
        <v>101</v>
      </c>
      <c r="B127" s="53"/>
      <c r="C127" s="8">
        <v>123.9</v>
      </c>
      <c r="D127" s="8">
        <v>438</v>
      </c>
      <c r="E127" s="54">
        <f t="shared" si="33"/>
        <v>561.9</v>
      </c>
      <c r="F127" s="53"/>
      <c r="G127" s="106">
        <f>800+126</f>
        <v>926</v>
      </c>
      <c r="H127" s="15">
        <f t="shared" si="34"/>
        <v>1487.9</v>
      </c>
      <c r="I127" s="8"/>
      <c r="J127" s="8"/>
      <c r="K127" s="54">
        <f t="shared" si="35"/>
        <v>1487.9</v>
      </c>
      <c r="L127" s="53"/>
      <c r="M127" s="8"/>
      <c r="N127" s="54">
        <f t="shared" si="36"/>
        <v>1487.9</v>
      </c>
    </row>
    <row r="128" spans="1:14" ht="12.75">
      <c r="A128" s="83" t="s">
        <v>83</v>
      </c>
      <c r="B128" s="63">
        <f aca="true" t="shared" si="37" ref="B128:N128">SUM(B130:B133)</f>
        <v>45000</v>
      </c>
      <c r="C128" s="14">
        <f t="shared" si="37"/>
        <v>19434.1</v>
      </c>
      <c r="D128" s="14">
        <f t="shared" si="37"/>
        <v>-438</v>
      </c>
      <c r="E128" s="64">
        <f t="shared" si="37"/>
        <v>63996.1</v>
      </c>
      <c r="F128" s="63">
        <f t="shared" si="37"/>
        <v>200</v>
      </c>
      <c r="G128" s="128">
        <f t="shared" si="37"/>
        <v>25829.9</v>
      </c>
      <c r="H128" s="147">
        <f t="shared" si="37"/>
        <v>90026</v>
      </c>
      <c r="I128" s="14">
        <f t="shared" si="37"/>
        <v>19190</v>
      </c>
      <c r="J128" s="14">
        <f t="shared" si="37"/>
        <v>0</v>
      </c>
      <c r="K128" s="64">
        <f t="shared" si="37"/>
        <v>109216</v>
      </c>
      <c r="L128" s="63">
        <f t="shared" si="37"/>
        <v>0</v>
      </c>
      <c r="M128" s="14">
        <f t="shared" si="37"/>
        <v>0</v>
      </c>
      <c r="N128" s="64">
        <f t="shared" si="37"/>
        <v>107658</v>
      </c>
    </row>
    <row r="129" spans="1:14" ht="12.75">
      <c r="A129" s="74" t="s">
        <v>47</v>
      </c>
      <c r="B129" s="55"/>
      <c r="C129" s="9"/>
      <c r="D129" s="9"/>
      <c r="E129" s="56"/>
      <c r="F129" s="55"/>
      <c r="G129" s="18"/>
      <c r="H129" s="115"/>
      <c r="I129" s="9"/>
      <c r="J129" s="9"/>
      <c r="K129" s="56"/>
      <c r="L129" s="55"/>
      <c r="M129" s="9"/>
      <c r="N129" s="56"/>
    </row>
    <row r="130" spans="1:14" ht="12.75">
      <c r="A130" s="75" t="s">
        <v>102</v>
      </c>
      <c r="B130" s="53"/>
      <c r="C130" s="8">
        <v>15000</v>
      </c>
      <c r="D130" s="8"/>
      <c r="E130" s="54">
        <f>B130+C130+D130</f>
        <v>15000</v>
      </c>
      <c r="F130" s="53"/>
      <c r="G130" s="106">
        <v>60</v>
      </c>
      <c r="H130" s="15">
        <f>E130+F130+G130</f>
        <v>15060</v>
      </c>
      <c r="I130" s="8">
        <f>-1366+19000</f>
        <v>17634</v>
      </c>
      <c r="J130" s="8"/>
      <c r="K130" s="54">
        <f>H130+I130+J130</f>
        <v>32694</v>
      </c>
      <c r="L130" s="53"/>
      <c r="M130" s="8"/>
      <c r="N130" s="54">
        <f>K130+L130+M130</f>
        <v>32694</v>
      </c>
    </row>
    <row r="131" spans="1:14" ht="12.75">
      <c r="A131" s="75" t="s">
        <v>84</v>
      </c>
      <c r="B131" s="53"/>
      <c r="C131" s="8">
        <v>3000</v>
      </c>
      <c r="D131" s="8"/>
      <c r="E131" s="54">
        <f>B131+C131+D131</f>
        <v>3000</v>
      </c>
      <c r="F131" s="53">
        <v>200</v>
      </c>
      <c r="G131" s="106">
        <v>540</v>
      </c>
      <c r="H131" s="15">
        <f>E131+F131+G131</f>
        <v>3740</v>
      </c>
      <c r="I131" s="8">
        <f>1366+190</f>
        <v>1556</v>
      </c>
      <c r="J131" s="8"/>
      <c r="K131" s="54">
        <f>H131+I131+J131</f>
        <v>5296</v>
      </c>
      <c r="L131" s="53"/>
      <c r="M131" s="8"/>
      <c r="N131" s="54">
        <f>K131+L131+M131</f>
        <v>5296</v>
      </c>
    </row>
    <row r="132" spans="1:14" ht="12.75">
      <c r="A132" s="76" t="s">
        <v>113</v>
      </c>
      <c r="B132" s="53"/>
      <c r="C132" s="8">
        <v>1558</v>
      </c>
      <c r="D132" s="8"/>
      <c r="E132" s="54">
        <f>B132+C132+D132</f>
        <v>1558</v>
      </c>
      <c r="F132" s="53"/>
      <c r="G132" s="106"/>
      <c r="H132" s="15">
        <f>E132+F132+G132</f>
        <v>1558</v>
      </c>
      <c r="I132" s="8"/>
      <c r="J132" s="8"/>
      <c r="K132" s="54">
        <f>H132+I132+J132</f>
        <v>1558</v>
      </c>
      <c r="L132" s="53"/>
      <c r="M132" s="8"/>
      <c r="N132" s="54"/>
    </row>
    <row r="133" spans="1:14" ht="12.75">
      <c r="A133" s="75" t="s">
        <v>100</v>
      </c>
      <c r="B133" s="53">
        <v>45000</v>
      </c>
      <c r="C133" s="8">
        <v>-123.9</v>
      </c>
      <c r="D133" s="8">
        <v>-438</v>
      </c>
      <c r="E133" s="54">
        <f>B133+C133+D133</f>
        <v>44438.1</v>
      </c>
      <c r="F133" s="53"/>
      <c r="G133" s="106">
        <f>-800-126+2408+23747.9</f>
        <v>25229.9</v>
      </c>
      <c r="H133" s="15">
        <f>E133+F133+G133</f>
        <v>69668</v>
      </c>
      <c r="I133" s="8"/>
      <c r="J133" s="8"/>
      <c r="K133" s="54">
        <f>H133+I133+J133</f>
        <v>69668</v>
      </c>
      <c r="L133" s="53"/>
      <c r="M133" s="8"/>
      <c r="N133" s="54">
        <f>K133+L133+M133</f>
        <v>69668</v>
      </c>
    </row>
    <row r="134" spans="1:14" ht="12.75">
      <c r="A134" s="84" t="s">
        <v>103</v>
      </c>
      <c r="B134" s="57"/>
      <c r="C134" s="11"/>
      <c r="D134" s="11">
        <v>11901</v>
      </c>
      <c r="E134" s="58">
        <f>B134+C134+D134</f>
        <v>11901</v>
      </c>
      <c r="F134" s="57">
        <v>8042</v>
      </c>
      <c r="G134" s="17"/>
      <c r="H134" s="169">
        <f>E134+F134+G134</f>
        <v>19943</v>
      </c>
      <c r="I134" s="11"/>
      <c r="J134" s="11"/>
      <c r="K134" s="58">
        <f>H134+I134+J134</f>
        <v>19943</v>
      </c>
      <c r="L134" s="57">
        <v>4440</v>
      </c>
      <c r="M134" s="11"/>
      <c r="N134" s="58">
        <f>K134+L134+M134</f>
        <v>24383</v>
      </c>
    </row>
    <row r="135" spans="1:14" ht="12.75">
      <c r="A135" s="77" t="s">
        <v>104</v>
      </c>
      <c r="B135" s="55">
        <f aca="true" t="shared" si="38" ref="B135:N135">B136+B141</f>
        <v>3670</v>
      </c>
      <c r="C135" s="9">
        <f t="shared" si="38"/>
        <v>1413</v>
      </c>
      <c r="D135" s="9">
        <f t="shared" si="38"/>
        <v>0</v>
      </c>
      <c r="E135" s="56">
        <f t="shared" si="38"/>
        <v>5083</v>
      </c>
      <c r="F135" s="55">
        <f t="shared" si="38"/>
        <v>0</v>
      </c>
      <c r="G135" s="18">
        <f t="shared" si="38"/>
        <v>0</v>
      </c>
      <c r="H135" s="115">
        <f t="shared" si="38"/>
        <v>5083</v>
      </c>
      <c r="I135" s="9">
        <f t="shared" si="38"/>
        <v>0</v>
      </c>
      <c r="J135" s="9">
        <f t="shared" si="38"/>
        <v>0</v>
      </c>
      <c r="K135" s="56">
        <f t="shared" si="38"/>
        <v>5083</v>
      </c>
      <c r="L135" s="55">
        <f t="shared" si="38"/>
        <v>0</v>
      </c>
      <c r="M135" s="9">
        <f t="shared" si="38"/>
        <v>0</v>
      </c>
      <c r="N135" s="56">
        <f t="shared" si="38"/>
        <v>5083</v>
      </c>
    </row>
    <row r="136" spans="1:14" ht="12.75">
      <c r="A136" s="82" t="s">
        <v>77</v>
      </c>
      <c r="B136" s="61">
        <f aca="true" t="shared" si="39" ref="B136:N136">SUM(B138:B140)</f>
        <v>3670</v>
      </c>
      <c r="C136" s="13">
        <f t="shared" si="39"/>
        <v>1413</v>
      </c>
      <c r="D136" s="13">
        <f t="shared" si="39"/>
        <v>0</v>
      </c>
      <c r="E136" s="62">
        <f t="shared" si="39"/>
        <v>5083</v>
      </c>
      <c r="F136" s="61">
        <f t="shared" si="39"/>
        <v>0</v>
      </c>
      <c r="G136" s="127">
        <f t="shared" si="39"/>
        <v>0</v>
      </c>
      <c r="H136" s="168">
        <f t="shared" si="39"/>
        <v>5083</v>
      </c>
      <c r="I136" s="13">
        <f t="shared" si="39"/>
        <v>0</v>
      </c>
      <c r="J136" s="13">
        <f t="shared" si="39"/>
        <v>0</v>
      </c>
      <c r="K136" s="62">
        <f t="shared" si="39"/>
        <v>5083</v>
      </c>
      <c r="L136" s="61">
        <f t="shared" si="39"/>
        <v>0</v>
      </c>
      <c r="M136" s="13">
        <f t="shared" si="39"/>
        <v>0</v>
      </c>
      <c r="N136" s="62">
        <f t="shared" si="39"/>
        <v>5083</v>
      </c>
    </row>
    <row r="137" spans="1:14" ht="12.75">
      <c r="A137" s="78" t="s">
        <v>47</v>
      </c>
      <c r="B137" s="53"/>
      <c r="C137" s="8"/>
      <c r="D137" s="8"/>
      <c r="E137" s="52"/>
      <c r="F137" s="53"/>
      <c r="G137" s="106"/>
      <c r="H137" s="166"/>
      <c r="I137" s="8"/>
      <c r="J137" s="8"/>
      <c r="K137" s="52"/>
      <c r="L137" s="53"/>
      <c r="M137" s="8"/>
      <c r="N137" s="52"/>
    </row>
    <row r="138" spans="1:14" ht="12.75">
      <c r="A138" s="76" t="s">
        <v>80</v>
      </c>
      <c r="B138" s="53">
        <v>3670</v>
      </c>
      <c r="C138" s="8">
        <v>-950</v>
      </c>
      <c r="D138" s="8"/>
      <c r="E138" s="54">
        <f>SUM(B138:D138)</f>
        <v>2720</v>
      </c>
      <c r="F138" s="53">
        <v>-950</v>
      </c>
      <c r="G138" s="106"/>
      <c r="H138" s="15">
        <f>SUM(E138:G138)</f>
        <v>1770</v>
      </c>
      <c r="I138" s="8"/>
      <c r="J138" s="8"/>
      <c r="K138" s="54">
        <f>H138+I138+J138</f>
        <v>1770</v>
      </c>
      <c r="L138" s="53"/>
      <c r="M138" s="8"/>
      <c r="N138" s="54">
        <f>K138+L138+M138</f>
        <v>1770</v>
      </c>
    </row>
    <row r="139" spans="1:14" ht="12.75">
      <c r="A139" s="80" t="s">
        <v>105</v>
      </c>
      <c r="B139" s="53"/>
      <c r="C139" s="8">
        <v>1413</v>
      </c>
      <c r="D139" s="8"/>
      <c r="E139" s="54">
        <f>SUM(B139:D139)</f>
        <v>1413</v>
      </c>
      <c r="F139" s="53"/>
      <c r="G139" s="106"/>
      <c r="H139" s="15">
        <f>SUM(E139:G139)</f>
        <v>1413</v>
      </c>
      <c r="I139" s="8"/>
      <c r="J139" s="8"/>
      <c r="K139" s="54">
        <f>H139+I139+J139</f>
        <v>1413</v>
      </c>
      <c r="L139" s="53"/>
      <c r="M139" s="8"/>
      <c r="N139" s="54">
        <f>K139+L139+M139</f>
        <v>1413</v>
      </c>
    </row>
    <row r="140" spans="1:14" ht="12.75">
      <c r="A140" s="87" t="s">
        <v>95</v>
      </c>
      <c r="B140" s="57"/>
      <c r="C140" s="11">
        <v>950</v>
      </c>
      <c r="D140" s="11"/>
      <c r="E140" s="58">
        <f>SUM(B140:D140)</f>
        <v>950</v>
      </c>
      <c r="F140" s="57">
        <v>950</v>
      </c>
      <c r="G140" s="17"/>
      <c r="H140" s="169">
        <f>SUM(E140:G140)</f>
        <v>1900</v>
      </c>
      <c r="I140" s="11"/>
      <c r="J140" s="11"/>
      <c r="K140" s="58">
        <f>H140+I140+J140</f>
        <v>1900</v>
      </c>
      <c r="L140" s="53"/>
      <c r="M140" s="8"/>
      <c r="N140" s="54">
        <f>K140+L140+M140</f>
        <v>1900</v>
      </c>
    </row>
    <row r="141" spans="1:14" ht="12.75" hidden="1">
      <c r="A141" s="82" t="s">
        <v>83</v>
      </c>
      <c r="B141" s="61">
        <f>B143</f>
        <v>0</v>
      </c>
      <c r="C141" s="13">
        <f aca="true" t="shared" si="40" ref="C141:N141">C143</f>
        <v>0</v>
      </c>
      <c r="D141" s="13">
        <f t="shared" si="40"/>
        <v>0</v>
      </c>
      <c r="E141" s="62">
        <f t="shared" si="40"/>
        <v>0</v>
      </c>
      <c r="F141" s="61">
        <f t="shared" si="40"/>
        <v>0</v>
      </c>
      <c r="G141" s="127">
        <f t="shared" si="40"/>
        <v>0</v>
      </c>
      <c r="H141" s="168">
        <f t="shared" si="40"/>
        <v>0</v>
      </c>
      <c r="I141" s="13">
        <f t="shared" si="40"/>
        <v>0</v>
      </c>
      <c r="J141" s="13">
        <f t="shared" si="40"/>
        <v>0</v>
      </c>
      <c r="K141" s="62">
        <f t="shared" si="40"/>
        <v>0</v>
      </c>
      <c r="L141" s="61">
        <f t="shared" si="40"/>
        <v>0</v>
      </c>
      <c r="M141" s="13">
        <f t="shared" si="40"/>
        <v>0</v>
      </c>
      <c r="N141" s="62">
        <f t="shared" si="40"/>
        <v>0</v>
      </c>
    </row>
    <row r="142" spans="1:14" ht="12.75" hidden="1">
      <c r="A142" s="78" t="s">
        <v>47</v>
      </c>
      <c r="B142" s="53"/>
      <c r="C142" s="8"/>
      <c r="D142" s="8"/>
      <c r="E142" s="52"/>
      <c r="F142" s="53"/>
      <c r="G142" s="106"/>
      <c r="H142" s="166"/>
      <c r="I142" s="8"/>
      <c r="J142" s="8"/>
      <c r="K142" s="52"/>
      <c r="L142" s="53"/>
      <c r="M142" s="8"/>
      <c r="N142" s="52"/>
    </row>
    <row r="143" spans="1:14" ht="12.75" hidden="1">
      <c r="A143" s="79" t="s">
        <v>99</v>
      </c>
      <c r="B143" s="57"/>
      <c r="C143" s="11"/>
      <c r="D143" s="11"/>
      <c r="E143" s="58">
        <f>SUM(B143:D143)</f>
        <v>0</v>
      </c>
      <c r="F143" s="57"/>
      <c r="G143" s="17"/>
      <c r="H143" s="169">
        <f>SUM(E143:G143)</f>
        <v>0</v>
      </c>
      <c r="I143" s="11"/>
      <c r="J143" s="11"/>
      <c r="K143" s="58">
        <f>H143+I143+J143</f>
        <v>0</v>
      </c>
      <c r="L143" s="57"/>
      <c r="M143" s="11"/>
      <c r="N143" s="58">
        <f>K143+L143+M143</f>
        <v>0</v>
      </c>
    </row>
    <row r="144" spans="1:14" ht="12.75">
      <c r="A144" s="73" t="s">
        <v>106</v>
      </c>
      <c r="B144" s="51">
        <f aca="true" t="shared" si="41" ref="B144:N144">B145+B158</f>
        <v>960245.6</v>
      </c>
      <c r="C144" s="7">
        <f t="shared" si="41"/>
        <v>343723.5</v>
      </c>
      <c r="D144" s="7">
        <f t="shared" si="41"/>
        <v>-700</v>
      </c>
      <c r="E144" s="52">
        <f t="shared" si="41"/>
        <v>1303269.0999999999</v>
      </c>
      <c r="F144" s="51">
        <f t="shared" si="41"/>
        <v>16961.9</v>
      </c>
      <c r="G144" s="125">
        <f t="shared" si="41"/>
        <v>0</v>
      </c>
      <c r="H144" s="166">
        <f t="shared" si="41"/>
        <v>1320231</v>
      </c>
      <c r="I144" s="7">
        <f t="shared" si="41"/>
        <v>45236</v>
      </c>
      <c r="J144" s="7">
        <f t="shared" si="41"/>
        <v>0</v>
      </c>
      <c r="K144" s="52">
        <f t="shared" si="41"/>
        <v>1365467</v>
      </c>
      <c r="L144" s="51">
        <f t="shared" si="41"/>
        <v>0</v>
      </c>
      <c r="M144" s="7">
        <f t="shared" si="41"/>
        <v>0</v>
      </c>
      <c r="N144" s="52">
        <f t="shared" si="41"/>
        <v>1091643.4</v>
      </c>
    </row>
    <row r="145" spans="1:14" ht="12.75">
      <c r="A145" s="82" t="s">
        <v>77</v>
      </c>
      <c r="B145" s="61">
        <f>SUM(B148:B157)</f>
        <v>960245.6</v>
      </c>
      <c r="C145" s="13">
        <f aca="true" t="shared" si="42" ref="C145:N145">SUM(C148:C157)</f>
        <v>315102.6</v>
      </c>
      <c r="D145" s="13">
        <f t="shared" si="42"/>
        <v>0</v>
      </c>
      <c r="E145" s="62">
        <f t="shared" si="42"/>
        <v>1275348.2</v>
      </c>
      <c r="F145" s="61">
        <f t="shared" si="42"/>
        <v>-11959.1</v>
      </c>
      <c r="G145" s="127">
        <f t="shared" si="42"/>
        <v>0</v>
      </c>
      <c r="H145" s="168">
        <f t="shared" si="42"/>
        <v>1263389.1</v>
      </c>
      <c r="I145" s="13">
        <f t="shared" si="42"/>
        <v>23732.699999999997</v>
      </c>
      <c r="J145" s="13">
        <f t="shared" si="42"/>
        <v>0</v>
      </c>
      <c r="K145" s="62">
        <f t="shared" si="42"/>
        <v>1287121.8</v>
      </c>
      <c r="L145" s="61">
        <f t="shared" si="42"/>
        <v>0</v>
      </c>
      <c r="M145" s="13">
        <f t="shared" si="42"/>
        <v>0</v>
      </c>
      <c r="N145" s="62">
        <f t="shared" si="42"/>
        <v>1023786.5</v>
      </c>
    </row>
    <row r="146" spans="1:14" ht="12.75">
      <c r="A146" s="78" t="s">
        <v>47</v>
      </c>
      <c r="B146" s="53"/>
      <c r="C146" s="8"/>
      <c r="D146" s="8"/>
      <c r="E146" s="52"/>
      <c r="F146" s="53"/>
      <c r="G146" s="106"/>
      <c r="H146" s="166"/>
      <c r="I146" s="8"/>
      <c r="J146" s="8"/>
      <c r="K146" s="52"/>
      <c r="L146" s="53"/>
      <c r="M146" s="8"/>
      <c r="N146" s="52"/>
    </row>
    <row r="147" spans="1:14" ht="12.75">
      <c r="A147" s="80" t="s">
        <v>107</v>
      </c>
      <c r="B147" s="66">
        <f aca="true" t="shared" si="43" ref="B147:N147">B148+B149</f>
        <v>595670</v>
      </c>
      <c r="C147" s="16"/>
      <c r="D147" s="16">
        <f t="shared" si="43"/>
        <v>0</v>
      </c>
      <c r="E147" s="67">
        <f t="shared" si="43"/>
        <v>616170</v>
      </c>
      <c r="F147" s="53">
        <f t="shared" si="43"/>
        <v>0</v>
      </c>
      <c r="G147" s="106">
        <f t="shared" si="43"/>
        <v>0</v>
      </c>
      <c r="H147" s="15">
        <f t="shared" si="43"/>
        <v>616170</v>
      </c>
      <c r="I147" s="8">
        <f t="shared" si="43"/>
        <v>0</v>
      </c>
      <c r="J147" s="8">
        <f t="shared" si="43"/>
        <v>0</v>
      </c>
      <c r="K147" s="54">
        <f t="shared" si="43"/>
        <v>616170</v>
      </c>
      <c r="L147" s="53">
        <f t="shared" si="43"/>
        <v>0</v>
      </c>
      <c r="M147" s="8">
        <f t="shared" si="43"/>
        <v>0</v>
      </c>
      <c r="N147" s="54">
        <f t="shared" si="43"/>
        <v>616170</v>
      </c>
    </row>
    <row r="148" spans="1:14" ht="12.75">
      <c r="A148" s="80" t="s">
        <v>108</v>
      </c>
      <c r="B148" s="66">
        <v>243300</v>
      </c>
      <c r="C148" s="16">
        <f>20000+500</f>
        <v>20500</v>
      </c>
      <c r="D148" s="16"/>
      <c r="E148" s="67">
        <f aca="true" t="shared" si="44" ref="E148:E157">B148+C148+D148</f>
        <v>263800</v>
      </c>
      <c r="F148" s="66"/>
      <c r="G148" s="130"/>
      <c r="H148" s="170">
        <f aca="true" t="shared" si="45" ref="H148:H157">E148+F148+G148</f>
        <v>263800</v>
      </c>
      <c r="I148" s="8"/>
      <c r="J148" s="8"/>
      <c r="K148" s="67">
        <f aca="true" t="shared" si="46" ref="K148:K157">H148+I148+J148</f>
        <v>263800</v>
      </c>
      <c r="L148" s="53"/>
      <c r="M148" s="8"/>
      <c r="N148" s="67">
        <f aca="true" t="shared" si="47" ref="N148:N157">K148+L148+M148</f>
        <v>263800</v>
      </c>
    </row>
    <row r="149" spans="1:14" ht="12.75">
      <c r="A149" s="79" t="s">
        <v>109</v>
      </c>
      <c r="B149" s="152">
        <v>352370</v>
      </c>
      <c r="C149" s="153"/>
      <c r="D149" s="153"/>
      <c r="E149" s="154">
        <f t="shared" si="44"/>
        <v>352370</v>
      </c>
      <c r="F149" s="152"/>
      <c r="G149" s="155"/>
      <c r="H149" s="171">
        <f t="shared" si="45"/>
        <v>352370</v>
      </c>
      <c r="I149" s="11"/>
      <c r="J149" s="11"/>
      <c r="K149" s="154">
        <f t="shared" si="46"/>
        <v>352370</v>
      </c>
      <c r="L149" s="53"/>
      <c r="M149" s="8"/>
      <c r="N149" s="67">
        <f t="shared" si="47"/>
        <v>352370</v>
      </c>
    </row>
    <row r="150" spans="1:14" ht="12.75">
      <c r="A150" s="80" t="s">
        <v>110</v>
      </c>
      <c r="B150" s="65">
        <v>8000</v>
      </c>
      <c r="C150" s="15"/>
      <c r="D150" s="15"/>
      <c r="E150" s="54">
        <f t="shared" si="44"/>
        <v>8000</v>
      </c>
      <c r="F150" s="53">
        <v>-7000</v>
      </c>
      <c r="G150" s="129"/>
      <c r="H150" s="15">
        <f t="shared" si="45"/>
        <v>1000</v>
      </c>
      <c r="I150" s="8"/>
      <c r="J150" s="15"/>
      <c r="K150" s="67">
        <f t="shared" si="46"/>
        <v>1000</v>
      </c>
      <c r="L150" s="65"/>
      <c r="M150" s="15"/>
      <c r="N150" s="67">
        <f t="shared" si="47"/>
        <v>1000</v>
      </c>
    </row>
    <row r="151" spans="1:14" ht="12.75">
      <c r="A151" s="76" t="s">
        <v>111</v>
      </c>
      <c r="B151" s="53">
        <v>5400</v>
      </c>
      <c r="C151" s="8"/>
      <c r="D151" s="8"/>
      <c r="E151" s="54">
        <f t="shared" si="44"/>
        <v>5400</v>
      </c>
      <c r="F151" s="53"/>
      <c r="G151" s="106"/>
      <c r="H151" s="15">
        <f t="shared" si="45"/>
        <v>5400</v>
      </c>
      <c r="I151" s="8"/>
      <c r="J151" s="8"/>
      <c r="K151" s="67">
        <f t="shared" si="46"/>
        <v>5400</v>
      </c>
      <c r="L151" s="53"/>
      <c r="M151" s="8"/>
      <c r="N151" s="67">
        <f t="shared" si="47"/>
        <v>5400</v>
      </c>
    </row>
    <row r="152" spans="1:14" ht="12.75" hidden="1">
      <c r="A152" s="76" t="s">
        <v>112</v>
      </c>
      <c r="B152" s="53"/>
      <c r="C152" s="8"/>
      <c r="D152" s="8"/>
      <c r="E152" s="54">
        <f t="shared" si="44"/>
        <v>0</v>
      </c>
      <c r="F152" s="53"/>
      <c r="G152" s="106"/>
      <c r="H152" s="15">
        <f t="shared" si="45"/>
        <v>0</v>
      </c>
      <c r="I152" s="8"/>
      <c r="J152" s="8"/>
      <c r="K152" s="67">
        <f t="shared" si="46"/>
        <v>0</v>
      </c>
      <c r="L152" s="53"/>
      <c r="M152" s="8"/>
      <c r="N152" s="67">
        <f t="shared" si="47"/>
        <v>0</v>
      </c>
    </row>
    <row r="153" spans="1:14" ht="12.75">
      <c r="A153" s="76" t="s">
        <v>246</v>
      </c>
      <c r="B153" s="53"/>
      <c r="C153" s="8">
        <v>254602.6</v>
      </c>
      <c r="D153" s="8"/>
      <c r="E153" s="54">
        <f t="shared" si="44"/>
        <v>254602.6</v>
      </c>
      <c r="F153" s="53"/>
      <c r="G153" s="106"/>
      <c r="H153" s="15">
        <f t="shared" si="45"/>
        <v>254602.6</v>
      </c>
      <c r="I153" s="8"/>
      <c r="J153" s="8"/>
      <c r="K153" s="67">
        <f t="shared" si="46"/>
        <v>254602.6</v>
      </c>
      <c r="L153" s="53"/>
      <c r="M153" s="8"/>
      <c r="N153" s="67"/>
    </row>
    <row r="154" spans="1:14" ht="12.75">
      <c r="A154" s="76" t="s">
        <v>276</v>
      </c>
      <c r="B154" s="53"/>
      <c r="C154" s="8"/>
      <c r="D154" s="8"/>
      <c r="E154" s="54"/>
      <c r="F154" s="53"/>
      <c r="G154" s="106"/>
      <c r="H154" s="15">
        <f t="shared" si="45"/>
        <v>0</v>
      </c>
      <c r="I154" s="8">
        <v>8284.8</v>
      </c>
      <c r="J154" s="8"/>
      <c r="K154" s="67">
        <f t="shared" si="46"/>
        <v>8284.8</v>
      </c>
      <c r="L154" s="53"/>
      <c r="M154" s="8"/>
      <c r="N154" s="67"/>
    </row>
    <row r="155" spans="1:14" ht="12.75">
      <c r="A155" s="76" t="s">
        <v>275</v>
      </c>
      <c r="B155" s="53"/>
      <c r="C155" s="8"/>
      <c r="D155" s="8"/>
      <c r="E155" s="54"/>
      <c r="F155" s="53"/>
      <c r="G155" s="106"/>
      <c r="H155" s="15">
        <f t="shared" si="45"/>
        <v>0</v>
      </c>
      <c r="I155" s="8">
        <f>431.3+16.6</f>
        <v>447.90000000000003</v>
      </c>
      <c r="J155" s="8"/>
      <c r="K155" s="67">
        <f t="shared" si="46"/>
        <v>447.90000000000003</v>
      </c>
      <c r="L155" s="53"/>
      <c r="M155" s="8"/>
      <c r="N155" s="67"/>
    </row>
    <row r="156" spans="1:14" ht="12.75">
      <c r="A156" s="76" t="s">
        <v>80</v>
      </c>
      <c r="B156" s="53">
        <v>351175.6</v>
      </c>
      <c r="C156" s="8">
        <v>40000</v>
      </c>
      <c r="D156" s="8"/>
      <c r="E156" s="54">
        <f t="shared" si="44"/>
        <v>391175.6</v>
      </c>
      <c r="F156" s="53">
        <f>898.1+2142.8-8000</f>
        <v>-4959.1</v>
      </c>
      <c r="G156" s="106"/>
      <c r="H156" s="170">
        <f t="shared" si="45"/>
        <v>386216.5</v>
      </c>
      <c r="I156" s="8">
        <v>15000</v>
      </c>
      <c r="J156" s="8"/>
      <c r="K156" s="67">
        <f t="shared" si="46"/>
        <v>401216.5</v>
      </c>
      <c r="L156" s="53"/>
      <c r="M156" s="8"/>
      <c r="N156" s="67">
        <f t="shared" si="47"/>
        <v>401216.5</v>
      </c>
    </row>
    <row r="157" spans="1:14" ht="12.75" hidden="1">
      <c r="A157" s="76" t="s">
        <v>113</v>
      </c>
      <c r="B157" s="53"/>
      <c r="C157" s="8"/>
      <c r="D157" s="8"/>
      <c r="E157" s="67">
        <f t="shared" si="44"/>
        <v>0</v>
      </c>
      <c r="F157" s="53"/>
      <c r="G157" s="106"/>
      <c r="H157" s="170">
        <f t="shared" si="45"/>
        <v>0</v>
      </c>
      <c r="I157" s="8"/>
      <c r="J157" s="8"/>
      <c r="K157" s="67">
        <f t="shared" si="46"/>
        <v>0</v>
      </c>
      <c r="L157" s="53"/>
      <c r="M157" s="8"/>
      <c r="N157" s="67">
        <f t="shared" si="47"/>
        <v>0</v>
      </c>
    </row>
    <row r="158" spans="1:14" ht="12.75">
      <c r="A158" s="83" t="s">
        <v>83</v>
      </c>
      <c r="B158" s="63">
        <f aca="true" t="shared" si="48" ref="B158:N158">SUM(B160:B167)</f>
        <v>0</v>
      </c>
      <c r="C158" s="14">
        <f t="shared" si="48"/>
        <v>28620.9</v>
      </c>
      <c r="D158" s="14">
        <f t="shared" si="48"/>
        <v>-700</v>
      </c>
      <c r="E158" s="64">
        <f t="shared" si="48"/>
        <v>27920.9</v>
      </c>
      <c r="F158" s="63">
        <f t="shared" si="48"/>
        <v>28921</v>
      </c>
      <c r="G158" s="128">
        <f t="shared" si="48"/>
        <v>0</v>
      </c>
      <c r="H158" s="147">
        <f t="shared" si="48"/>
        <v>56841.9</v>
      </c>
      <c r="I158" s="14">
        <f t="shared" si="48"/>
        <v>21503.3</v>
      </c>
      <c r="J158" s="14">
        <f t="shared" si="48"/>
        <v>0</v>
      </c>
      <c r="K158" s="64">
        <f t="shared" si="48"/>
        <v>78345.2</v>
      </c>
      <c r="L158" s="63">
        <f t="shared" si="48"/>
        <v>0</v>
      </c>
      <c r="M158" s="14">
        <f t="shared" si="48"/>
        <v>0</v>
      </c>
      <c r="N158" s="64">
        <f t="shared" si="48"/>
        <v>67856.9</v>
      </c>
    </row>
    <row r="159" spans="1:14" ht="12.75">
      <c r="A159" s="74" t="s">
        <v>47</v>
      </c>
      <c r="B159" s="55"/>
      <c r="C159" s="9"/>
      <c r="D159" s="9"/>
      <c r="E159" s="56"/>
      <c r="F159" s="55"/>
      <c r="G159" s="18"/>
      <c r="H159" s="115"/>
      <c r="I159" s="9"/>
      <c r="J159" s="9"/>
      <c r="K159" s="56"/>
      <c r="L159" s="55"/>
      <c r="M159" s="9"/>
      <c r="N159" s="56"/>
    </row>
    <row r="160" spans="1:14" ht="12.75">
      <c r="A160" s="75" t="s">
        <v>84</v>
      </c>
      <c r="B160" s="53"/>
      <c r="C160" s="8">
        <v>1000</v>
      </c>
      <c r="D160" s="8"/>
      <c r="E160" s="54">
        <f>B160+C160+D160</f>
        <v>1000</v>
      </c>
      <c r="F160" s="53">
        <f>24441+580</f>
        <v>25021</v>
      </c>
      <c r="G160" s="106"/>
      <c r="H160" s="15">
        <f>E160+F160+G160</f>
        <v>26021</v>
      </c>
      <c r="I160" s="8"/>
      <c r="J160" s="8"/>
      <c r="K160" s="54">
        <f>H160+I160+J160</f>
        <v>26021</v>
      </c>
      <c r="L160" s="53"/>
      <c r="M160" s="8"/>
      <c r="N160" s="54">
        <f>K160+L160+M160</f>
        <v>26021</v>
      </c>
    </row>
    <row r="161" spans="1:14" ht="12.75">
      <c r="A161" s="76" t="s">
        <v>275</v>
      </c>
      <c r="B161" s="53"/>
      <c r="C161" s="8"/>
      <c r="D161" s="8"/>
      <c r="E161" s="54"/>
      <c r="F161" s="53"/>
      <c r="G161" s="106"/>
      <c r="H161" s="15">
        <f>E161+F161+G161</f>
        <v>0</v>
      </c>
      <c r="I161" s="8">
        <f>6584.2+3.2+0.9</f>
        <v>6588.299999999999</v>
      </c>
      <c r="J161" s="8"/>
      <c r="K161" s="54">
        <f>H161+I161+J161</f>
        <v>6588.299999999999</v>
      </c>
      <c r="L161" s="53"/>
      <c r="M161" s="8"/>
      <c r="N161" s="54"/>
    </row>
    <row r="162" spans="1:14" ht="12.75">
      <c r="A162" s="76" t="s">
        <v>114</v>
      </c>
      <c r="B162" s="53"/>
      <c r="C162" s="8">
        <f>336.8+2310.2+14019.2+10954.7</f>
        <v>27620.9</v>
      </c>
      <c r="D162" s="8">
        <v>-700</v>
      </c>
      <c r="E162" s="54">
        <f aca="true" t="shared" si="49" ref="E162:E167">B162+C162+D162</f>
        <v>26920.9</v>
      </c>
      <c r="F162" s="53"/>
      <c r="G162" s="106"/>
      <c r="H162" s="15">
        <f aca="true" t="shared" si="50" ref="H162:H167">E162+F162+G162</f>
        <v>26920.9</v>
      </c>
      <c r="I162" s="8"/>
      <c r="J162" s="8"/>
      <c r="K162" s="54">
        <f aca="true" t="shared" si="51" ref="K162:K167">H162+I162+J162</f>
        <v>26920.9</v>
      </c>
      <c r="L162" s="53"/>
      <c r="M162" s="8"/>
      <c r="N162" s="54">
        <f aca="true" t="shared" si="52" ref="N162:N167">K162+L162+M162</f>
        <v>26920.9</v>
      </c>
    </row>
    <row r="163" spans="1:14" ht="12.75">
      <c r="A163" s="76" t="s">
        <v>102</v>
      </c>
      <c r="B163" s="53"/>
      <c r="C163" s="8"/>
      <c r="D163" s="8"/>
      <c r="E163" s="54">
        <f t="shared" si="49"/>
        <v>0</v>
      </c>
      <c r="F163" s="53">
        <v>3900</v>
      </c>
      <c r="G163" s="106"/>
      <c r="H163" s="15">
        <f t="shared" si="50"/>
        <v>3900</v>
      </c>
      <c r="I163" s="8"/>
      <c r="J163" s="8"/>
      <c r="K163" s="54">
        <f t="shared" si="51"/>
        <v>3900</v>
      </c>
      <c r="L163" s="53"/>
      <c r="M163" s="8"/>
      <c r="N163" s="54"/>
    </row>
    <row r="164" spans="1:14" ht="12.75">
      <c r="A164" s="76" t="s">
        <v>115</v>
      </c>
      <c r="B164" s="53"/>
      <c r="C164" s="8"/>
      <c r="D164" s="8"/>
      <c r="E164" s="54">
        <f t="shared" si="49"/>
        <v>0</v>
      </c>
      <c r="F164" s="53"/>
      <c r="G164" s="106"/>
      <c r="H164" s="15">
        <f t="shared" si="50"/>
        <v>0</v>
      </c>
      <c r="I164" s="8">
        <v>10498</v>
      </c>
      <c r="J164" s="8"/>
      <c r="K164" s="54">
        <f t="shared" si="51"/>
        <v>10498</v>
      </c>
      <c r="L164" s="53"/>
      <c r="M164" s="8"/>
      <c r="N164" s="54">
        <f t="shared" si="52"/>
        <v>10498</v>
      </c>
    </row>
    <row r="165" spans="1:14" ht="12.75" hidden="1">
      <c r="A165" s="76" t="s">
        <v>116</v>
      </c>
      <c r="B165" s="53"/>
      <c r="C165" s="8"/>
      <c r="D165" s="8"/>
      <c r="E165" s="54">
        <f t="shared" si="49"/>
        <v>0</v>
      </c>
      <c r="F165" s="53"/>
      <c r="G165" s="106"/>
      <c r="H165" s="15">
        <f t="shared" si="50"/>
        <v>0</v>
      </c>
      <c r="I165" s="8"/>
      <c r="J165" s="8"/>
      <c r="K165" s="54">
        <f t="shared" si="51"/>
        <v>0</v>
      </c>
      <c r="L165" s="70"/>
      <c r="M165" s="8"/>
      <c r="N165" s="54">
        <f t="shared" si="52"/>
        <v>0</v>
      </c>
    </row>
    <row r="166" spans="1:14" ht="12.75" hidden="1">
      <c r="A166" s="75" t="s">
        <v>117</v>
      </c>
      <c r="B166" s="53"/>
      <c r="C166" s="8"/>
      <c r="D166" s="8"/>
      <c r="E166" s="54">
        <f t="shared" si="49"/>
        <v>0</v>
      </c>
      <c r="F166" s="53"/>
      <c r="G166" s="106"/>
      <c r="H166" s="15">
        <f t="shared" si="50"/>
        <v>0</v>
      </c>
      <c r="I166" s="8"/>
      <c r="J166" s="8"/>
      <c r="K166" s="54">
        <f t="shared" si="51"/>
        <v>0</v>
      </c>
      <c r="L166" s="53"/>
      <c r="M166" s="8"/>
      <c r="N166" s="54">
        <f t="shared" si="52"/>
        <v>0</v>
      </c>
    </row>
    <row r="167" spans="1:14" ht="12.75">
      <c r="A167" s="79" t="s">
        <v>112</v>
      </c>
      <c r="B167" s="57"/>
      <c r="C167" s="11"/>
      <c r="D167" s="11"/>
      <c r="E167" s="58">
        <f t="shared" si="49"/>
        <v>0</v>
      </c>
      <c r="F167" s="57"/>
      <c r="G167" s="17"/>
      <c r="H167" s="169">
        <f t="shared" si="50"/>
        <v>0</v>
      </c>
      <c r="I167" s="11">
        <f>1227.2+3189.8</f>
        <v>4417</v>
      </c>
      <c r="J167" s="11"/>
      <c r="K167" s="58">
        <f t="shared" si="51"/>
        <v>4417</v>
      </c>
      <c r="L167" s="53"/>
      <c r="M167" s="8"/>
      <c r="N167" s="54">
        <f t="shared" si="52"/>
        <v>4417</v>
      </c>
    </row>
    <row r="168" spans="1:14" ht="12.75">
      <c r="A168" s="73" t="s">
        <v>118</v>
      </c>
      <c r="B168" s="51">
        <f aca="true" t="shared" si="53" ref="B168:N168">B169+B174</f>
        <v>6755</v>
      </c>
      <c r="C168" s="7">
        <f t="shared" si="53"/>
        <v>13059.1</v>
      </c>
      <c r="D168" s="7">
        <f t="shared" si="53"/>
        <v>0</v>
      </c>
      <c r="E168" s="52">
        <f t="shared" si="53"/>
        <v>19814.1</v>
      </c>
      <c r="F168" s="51">
        <f t="shared" si="53"/>
        <v>0</v>
      </c>
      <c r="G168" s="125">
        <f t="shared" si="53"/>
        <v>54</v>
      </c>
      <c r="H168" s="166">
        <f t="shared" si="53"/>
        <v>19868.1</v>
      </c>
      <c r="I168" s="7">
        <f t="shared" si="53"/>
        <v>1430.4</v>
      </c>
      <c r="J168" s="7">
        <f t="shared" si="53"/>
        <v>0</v>
      </c>
      <c r="K168" s="52">
        <f t="shared" si="53"/>
        <v>21298.5</v>
      </c>
      <c r="L168" s="51">
        <f t="shared" si="53"/>
        <v>0</v>
      </c>
      <c r="M168" s="7">
        <f t="shared" si="53"/>
        <v>0</v>
      </c>
      <c r="N168" s="52">
        <f t="shared" si="53"/>
        <v>19498.5</v>
      </c>
    </row>
    <row r="169" spans="1:14" ht="12.75">
      <c r="A169" s="82" t="s">
        <v>77</v>
      </c>
      <c r="B169" s="61">
        <f aca="true" t="shared" si="54" ref="B169:N169">SUM(B171:B173)</f>
        <v>6755</v>
      </c>
      <c r="C169" s="13">
        <f t="shared" si="54"/>
        <v>13059.1</v>
      </c>
      <c r="D169" s="13">
        <f t="shared" si="54"/>
        <v>-350</v>
      </c>
      <c r="E169" s="62">
        <f t="shared" si="54"/>
        <v>19464.1</v>
      </c>
      <c r="F169" s="61">
        <f t="shared" si="54"/>
        <v>0</v>
      </c>
      <c r="G169" s="127">
        <f t="shared" si="54"/>
        <v>54</v>
      </c>
      <c r="H169" s="168">
        <f t="shared" si="54"/>
        <v>19518.1</v>
      </c>
      <c r="I169" s="13">
        <f t="shared" si="54"/>
        <v>1430.4</v>
      </c>
      <c r="J169" s="13">
        <f t="shared" si="54"/>
        <v>0</v>
      </c>
      <c r="K169" s="62">
        <f t="shared" si="54"/>
        <v>20948.5</v>
      </c>
      <c r="L169" s="61">
        <f t="shared" si="54"/>
        <v>0</v>
      </c>
      <c r="M169" s="13">
        <f t="shared" si="54"/>
        <v>0</v>
      </c>
      <c r="N169" s="62">
        <f t="shared" si="54"/>
        <v>19148.5</v>
      </c>
    </row>
    <row r="170" spans="1:14" ht="12.75">
      <c r="A170" s="78" t="s">
        <v>47</v>
      </c>
      <c r="B170" s="53"/>
      <c r="C170" s="8"/>
      <c r="D170" s="8"/>
      <c r="E170" s="52"/>
      <c r="F170" s="53"/>
      <c r="G170" s="106"/>
      <c r="H170" s="166"/>
      <c r="I170" s="8"/>
      <c r="J170" s="8"/>
      <c r="K170" s="52"/>
      <c r="L170" s="53"/>
      <c r="M170" s="8"/>
      <c r="N170" s="52"/>
    </row>
    <row r="171" spans="1:14" ht="12.75">
      <c r="A171" s="75" t="s">
        <v>80</v>
      </c>
      <c r="B171" s="53">
        <v>6755</v>
      </c>
      <c r="C171" s="8">
        <v>600</v>
      </c>
      <c r="D171" s="8">
        <v>-350</v>
      </c>
      <c r="E171" s="54">
        <f>B171+C171+D171</f>
        <v>7005</v>
      </c>
      <c r="F171" s="53"/>
      <c r="G171" s="106">
        <f>-1800+54</f>
        <v>-1746</v>
      </c>
      <c r="H171" s="15">
        <f>E171+F171+G171</f>
        <v>5259</v>
      </c>
      <c r="I171" s="8">
        <f>430.4+1000</f>
        <v>1430.4</v>
      </c>
      <c r="J171" s="8"/>
      <c r="K171" s="54">
        <f>H171+I171+J171</f>
        <v>6689.4</v>
      </c>
      <c r="L171" s="53"/>
      <c r="M171" s="8"/>
      <c r="N171" s="54">
        <f>K171+L171+M171</f>
        <v>6689.4</v>
      </c>
    </row>
    <row r="172" spans="1:14" ht="12.75">
      <c r="A172" s="76" t="s">
        <v>99</v>
      </c>
      <c r="B172" s="53"/>
      <c r="C172" s="8"/>
      <c r="D172" s="8"/>
      <c r="E172" s="54">
        <f>B172+C172+D172</f>
        <v>0</v>
      </c>
      <c r="F172" s="53"/>
      <c r="G172" s="106">
        <v>1800</v>
      </c>
      <c r="H172" s="15">
        <f>E172+F172+G172</f>
        <v>1800</v>
      </c>
      <c r="I172" s="8"/>
      <c r="J172" s="8"/>
      <c r="K172" s="54">
        <f>H172+I172+J172</f>
        <v>1800</v>
      </c>
      <c r="L172" s="53"/>
      <c r="M172" s="8"/>
      <c r="N172" s="54"/>
    </row>
    <row r="173" spans="1:14" ht="12.75">
      <c r="A173" s="75" t="s">
        <v>114</v>
      </c>
      <c r="B173" s="53"/>
      <c r="C173" s="8">
        <f>9434.1+1875+1150</f>
        <v>12459.1</v>
      </c>
      <c r="D173" s="8"/>
      <c r="E173" s="54">
        <f>B173+C173+D173</f>
        <v>12459.1</v>
      </c>
      <c r="F173" s="53"/>
      <c r="G173" s="106"/>
      <c r="H173" s="15">
        <f>E173+F173+G173</f>
        <v>12459.1</v>
      </c>
      <c r="I173" s="8"/>
      <c r="J173" s="8"/>
      <c r="K173" s="54">
        <f>H173+I173+J173</f>
        <v>12459.1</v>
      </c>
      <c r="L173" s="53"/>
      <c r="M173" s="8"/>
      <c r="N173" s="54">
        <f>K173+L173+M173</f>
        <v>12459.1</v>
      </c>
    </row>
    <row r="174" spans="1:14" ht="12.75">
      <c r="A174" s="83" t="s">
        <v>83</v>
      </c>
      <c r="B174" s="63">
        <f>B176</f>
        <v>0</v>
      </c>
      <c r="C174" s="14">
        <f aca="true" t="shared" si="55" ref="C174:N174">C176</f>
        <v>0</v>
      </c>
      <c r="D174" s="14">
        <f t="shared" si="55"/>
        <v>350</v>
      </c>
      <c r="E174" s="64">
        <f t="shared" si="55"/>
        <v>350</v>
      </c>
      <c r="F174" s="63">
        <f t="shared" si="55"/>
        <v>0</v>
      </c>
      <c r="G174" s="139">
        <f t="shared" si="55"/>
        <v>0</v>
      </c>
      <c r="H174" s="147">
        <f t="shared" si="55"/>
        <v>350</v>
      </c>
      <c r="I174" s="9">
        <f t="shared" si="55"/>
        <v>0</v>
      </c>
      <c r="J174" s="9">
        <f t="shared" si="55"/>
        <v>0</v>
      </c>
      <c r="K174" s="56">
        <f t="shared" si="55"/>
        <v>350</v>
      </c>
      <c r="L174" s="55">
        <f t="shared" si="55"/>
        <v>0</v>
      </c>
      <c r="M174" s="9">
        <f t="shared" si="55"/>
        <v>0</v>
      </c>
      <c r="N174" s="56">
        <f t="shared" si="55"/>
        <v>350</v>
      </c>
    </row>
    <row r="175" spans="1:14" ht="12.75">
      <c r="A175" s="74" t="s">
        <v>47</v>
      </c>
      <c r="B175" s="53"/>
      <c r="C175" s="8"/>
      <c r="D175" s="8"/>
      <c r="E175" s="54"/>
      <c r="F175" s="53"/>
      <c r="G175" s="106"/>
      <c r="H175" s="15"/>
      <c r="I175" s="8"/>
      <c r="J175" s="8"/>
      <c r="K175" s="54"/>
      <c r="L175" s="53"/>
      <c r="M175" s="8"/>
      <c r="N175" s="54"/>
    </row>
    <row r="176" spans="1:14" ht="12.75">
      <c r="A176" s="86" t="s">
        <v>84</v>
      </c>
      <c r="B176" s="57"/>
      <c r="C176" s="11"/>
      <c r="D176" s="11">
        <v>350</v>
      </c>
      <c r="E176" s="58">
        <f>B176+C176+D176</f>
        <v>350</v>
      </c>
      <c r="F176" s="57"/>
      <c r="G176" s="17"/>
      <c r="H176" s="169">
        <f>E176+F176+G176</f>
        <v>350</v>
      </c>
      <c r="I176" s="11"/>
      <c r="J176" s="11"/>
      <c r="K176" s="58">
        <f>H176+I176+J176</f>
        <v>350</v>
      </c>
      <c r="L176" s="57"/>
      <c r="M176" s="11"/>
      <c r="N176" s="58">
        <f>K176+L176+M176</f>
        <v>350</v>
      </c>
    </row>
    <row r="177" spans="1:14" ht="12.75">
      <c r="A177" s="77" t="s">
        <v>119</v>
      </c>
      <c r="B177" s="55">
        <f aca="true" t="shared" si="56" ref="B177:N177">B178+B182</f>
        <v>33000</v>
      </c>
      <c r="C177" s="9">
        <f t="shared" si="56"/>
        <v>14236.5</v>
      </c>
      <c r="D177" s="9">
        <f t="shared" si="56"/>
        <v>0</v>
      </c>
      <c r="E177" s="56">
        <f t="shared" si="56"/>
        <v>47236.5</v>
      </c>
      <c r="F177" s="55">
        <f t="shared" si="56"/>
        <v>0</v>
      </c>
      <c r="G177" s="18">
        <f t="shared" si="56"/>
        <v>0</v>
      </c>
      <c r="H177" s="115">
        <f t="shared" si="56"/>
        <v>47236.5</v>
      </c>
      <c r="I177" s="9">
        <f t="shared" si="56"/>
        <v>1699.4</v>
      </c>
      <c r="J177" s="9">
        <f t="shared" si="56"/>
        <v>0</v>
      </c>
      <c r="K177" s="56">
        <f t="shared" si="56"/>
        <v>48935.9</v>
      </c>
      <c r="L177" s="55" t="e">
        <f t="shared" si="56"/>
        <v>#REF!</v>
      </c>
      <c r="M177" s="9" t="e">
        <f t="shared" si="56"/>
        <v>#REF!</v>
      </c>
      <c r="N177" s="56" t="e">
        <f t="shared" si="56"/>
        <v>#REF!</v>
      </c>
    </row>
    <row r="178" spans="1:14" ht="12.75">
      <c r="A178" s="82" t="s">
        <v>77</v>
      </c>
      <c r="B178" s="61">
        <f aca="true" t="shared" si="57" ref="B178:N178">SUM(B180:B181)</f>
        <v>28000</v>
      </c>
      <c r="C178" s="13">
        <f t="shared" si="57"/>
        <v>0</v>
      </c>
      <c r="D178" s="13">
        <f t="shared" si="57"/>
        <v>0</v>
      </c>
      <c r="E178" s="62">
        <f t="shared" si="57"/>
        <v>28000</v>
      </c>
      <c r="F178" s="61">
        <f t="shared" si="57"/>
        <v>0</v>
      </c>
      <c r="G178" s="127">
        <f t="shared" si="57"/>
        <v>0</v>
      </c>
      <c r="H178" s="168">
        <f t="shared" si="57"/>
        <v>28000</v>
      </c>
      <c r="I178" s="13">
        <f t="shared" si="57"/>
        <v>1791.6</v>
      </c>
      <c r="J178" s="13">
        <f t="shared" si="57"/>
        <v>0</v>
      </c>
      <c r="K178" s="62">
        <f t="shared" si="57"/>
        <v>29791.6</v>
      </c>
      <c r="L178" s="61">
        <f t="shared" si="57"/>
        <v>0</v>
      </c>
      <c r="M178" s="13">
        <f t="shared" si="57"/>
        <v>0</v>
      </c>
      <c r="N178" s="62">
        <f t="shared" si="57"/>
        <v>29791.6</v>
      </c>
    </row>
    <row r="179" spans="1:14" ht="12.75">
      <c r="A179" s="78" t="s">
        <v>47</v>
      </c>
      <c r="B179" s="53"/>
      <c r="C179" s="8"/>
      <c r="D179" s="8"/>
      <c r="E179" s="52"/>
      <c r="F179" s="53"/>
      <c r="G179" s="106"/>
      <c r="H179" s="166"/>
      <c r="I179" s="8"/>
      <c r="J179" s="8"/>
      <c r="K179" s="52"/>
      <c r="L179" s="53"/>
      <c r="M179" s="8"/>
      <c r="N179" s="52"/>
    </row>
    <row r="180" spans="1:14" ht="12.75">
      <c r="A180" s="76" t="s">
        <v>80</v>
      </c>
      <c r="B180" s="53">
        <v>6000</v>
      </c>
      <c r="C180" s="8"/>
      <c r="D180" s="8"/>
      <c r="E180" s="54">
        <f>B180+C180+D180</f>
        <v>6000</v>
      </c>
      <c r="F180" s="53"/>
      <c r="G180" s="106"/>
      <c r="H180" s="15">
        <f>E180+F180+G180</f>
        <v>6000</v>
      </c>
      <c r="I180" s="8">
        <v>1791.6</v>
      </c>
      <c r="J180" s="8"/>
      <c r="K180" s="54">
        <f>H180+I180+J180</f>
        <v>7791.6</v>
      </c>
      <c r="L180" s="53"/>
      <c r="M180" s="8"/>
      <c r="N180" s="54">
        <f>K180+L180+M180</f>
        <v>7791.6</v>
      </c>
    </row>
    <row r="181" spans="1:14" ht="12.75">
      <c r="A181" s="76" t="s">
        <v>120</v>
      </c>
      <c r="B181" s="53">
        <v>22000</v>
      </c>
      <c r="C181" s="8"/>
      <c r="D181" s="8"/>
      <c r="E181" s="54">
        <f>B181+C181+D181</f>
        <v>22000</v>
      </c>
      <c r="F181" s="53"/>
      <c r="G181" s="106"/>
      <c r="H181" s="15">
        <f>E181+F181+G181</f>
        <v>22000</v>
      </c>
      <c r="I181" s="8"/>
      <c r="J181" s="8"/>
      <c r="K181" s="54">
        <f>H181+I181+J181</f>
        <v>22000</v>
      </c>
      <c r="L181" s="53"/>
      <c r="M181" s="8"/>
      <c r="N181" s="54">
        <f>K181+L181+M181</f>
        <v>22000</v>
      </c>
    </row>
    <row r="182" spans="1:14" ht="12.75">
      <c r="A182" s="83" t="s">
        <v>83</v>
      </c>
      <c r="B182" s="63">
        <f>B186+B184+B185</f>
        <v>5000</v>
      </c>
      <c r="C182" s="14">
        <f>C186+C184</f>
        <v>14236.5</v>
      </c>
      <c r="D182" s="14">
        <f>D186+D184</f>
        <v>0</v>
      </c>
      <c r="E182" s="64">
        <f>E186+E184</f>
        <v>19236.5</v>
      </c>
      <c r="F182" s="63">
        <f>F186+F184</f>
        <v>0</v>
      </c>
      <c r="G182" s="14">
        <f>G186+G184</f>
        <v>0</v>
      </c>
      <c r="H182" s="139">
        <f>H186+H184+H185</f>
        <v>19236.5</v>
      </c>
      <c r="I182" s="14">
        <f>I186+I184+I185</f>
        <v>-92.19999999999982</v>
      </c>
      <c r="J182" s="147">
        <f>J186+J184</f>
        <v>0</v>
      </c>
      <c r="K182" s="64">
        <f>K186+K184+K185</f>
        <v>19144.300000000003</v>
      </c>
      <c r="L182" s="63" t="e">
        <f>L186+#REF!</f>
        <v>#REF!</v>
      </c>
      <c r="M182" s="14" t="e">
        <f>M186+#REF!</f>
        <v>#REF!</v>
      </c>
      <c r="N182" s="64" t="e">
        <f>N186+#REF!</f>
        <v>#REF!</v>
      </c>
    </row>
    <row r="183" spans="1:14" ht="12.75">
      <c r="A183" s="74" t="s">
        <v>47</v>
      </c>
      <c r="B183" s="55"/>
      <c r="C183" s="9"/>
      <c r="D183" s="9"/>
      <c r="E183" s="56"/>
      <c r="F183" s="55"/>
      <c r="G183" s="18"/>
      <c r="H183" s="115"/>
      <c r="I183" s="9"/>
      <c r="J183" s="9"/>
      <c r="K183" s="56"/>
      <c r="L183" s="55"/>
      <c r="M183" s="9"/>
      <c r="N183" s="56"/>
    </row>
    <row r="184" spans="1:14" ht="12.75">
      <c r="A184" s="76" t="s">
        <v>114</v>
      </c>
      <c r="B184" s="55"/>
      <c r="C184" s="8">
        <v>2571.5</v>
      </c>
      <c r="D184" s="9"/>
      <c r="E184" s="54">
        <f>B184+C184+D184</f>
        <v>2571.5</v>
      </c>
      <c r="F184" s="55"/>
      <c r="G184" s="18"/>
      <c r="H184" s="15">
        <f>E184+F184+G184</f>
        <v>2571.5</v>
      </c>
      <c r="I184" s="9"/>
      <c r="J184" s="9"/>
      <c r="K184" s="54">
        <f>H184+I184+J184</f>
        <v>2571.5</v>
      </c>
      <c r="L184" s="55"/>
      <c r="M184" s="9"/>
      <c r="N184" s="56"/>
    </row>
    <row r="185" spans="1:14" ht="12.75">
      <c r="A185" s="76" t="s">
        <v>277</v>
      </c>
      <c r="B185" s="55"/>
      <c r="C185" s="8"/>
      <c r="D185" s="9"/>
      <c r="E185" s="54"/>
      <c r="F185" s="55"/>
      <c r="G185" s="18"/>
      <c r="H185" s="15">
        <f>E185+F185+G185</f>
        <v>0</v>
      </c>
      <c r="I185" s="8">
        <v>1699.4</v>
      </c>
      <c r="J185" s="9"/>
      <c r="K185" s="54">
        <f>H185+I185+J185</f>
        <v>1699.4</v>
      </c>
      <c r="L185" s="55"/>
      <c r="M185" s="9"/>
      <c r="N185" s="56"/>
    </row>
    <row r="186" spans="1:14" ht="12.75">
      <c r="A186" s="87" t="s">
        <v>84</v>
      </c>
      <c r="B186" s="57">
        <v>5000</v>
      </c>
      <c r="C186" s="11">
        <f>1665+10000</f>
        <v>11665</v>
      </c>
      <c r="D186" s="11"/>
      <c r="E186" s="58">
        <f>B186+C186+D186</f>
        <v>16665</v>
      </c>
      <c r="F186" s="57"/>
      <c r="G186" s="17"/>
      <c r="H186" s="169">
        <f>E186+F186+G186</f>
        <v>16665</v>
      </c>
      <c r="I186" s="11">
        <v>-1791.6</v>
      </c>
      <c r="J186" s="11"/>
      <c r="K186" s="58">
        <f>H186+I186+J186</f>
        <v>14873.4</v>
      </c>
      <c r="L186" s="57"/>
      <c r="M186" s="11"/>
      <c r="N186" s="58">
        <f>K186+L186+M186</f>
        <v>14873.4</v>
      </c>
    </row>
    <row r="187" spans="1:14" ht="12.75">
      <c r="A187" s="73" t="s">
        <v>121</v>
      </c>
      <c r="B187" s="51">
        <f aca="true" t="shared" si="58" ref="B187:N187">B188+B222</f>
        <v>307292</v>
      </c>
      <c r="C187" s="7">
        <f t="shared" si="58"/>
        <v>91163.00000000003</v>
      </c>
      <c r="D187" s="7">
        <f t="shared" si="58"/>
        <v>-69270.6</v>
      </c>
      <c r="E187" s="52">
        <f t="shared" si="58"/>
        <v>329184.4</v>
      </c>
      <c r="F187" s="51">
        <f t="shared" si="58"/>
        <v>23356.5</v>
      </c>
      <c r="G187" s="125">
        <f t="shared" si="58"/>
        <v>-26600</v>
      </c>
      <c r="H187" s="166">
        <f t="shared" si="58"/>
        <v>325940.9</v>
      </c>
      <c r="I187" s="7">
        <f t="shared" si="58"/>
        <v>1626.9999999999995</v>
      </c>
      <c r="J187" s="7">
        <f t="shared" si="58"/>
        <v>0</v>
      </c>
      <c r="K187" s="52">
        <f t="shared" si="58"/>
        <v>327567.9</v>
      </c>
      <c r="L187" s="51">
        <f t="shared" si="58"/>
        <v>0</v>
      </c>
      <c r="M187" s="7">
        <f t="shared" si="58"/>
        <v>0</v>
      </c>
      <c r="N187" s="52">
        <f t="shared" si="58"/>
        <v>294629.9</v>
      </c>
    </row>
    <row r="188" spans="1:14" ht="12.75">
      <c r="A188" s="82" t="s">
        <v>77</v>
      </c>
      <c r="B188" s="61">
        <f aca="true" t="shared" si="59" ref="B188:N188">SUM(B190:B212)+B214</f>
        <v>164124.4</v>
      </c>
      <c r="C188" s="13">
        <f t="shared" si="59"/>
        <v>131261.80000000002</v>
      </c>
      <c r="D188" s="13">
        <f t="shared" si="59"/>
        <v>-19957.9</v>
      </c>
      <c r="E188" s="62">
        <f t="shared" si="59"/>
        <v>275428.3</v>
      </c>
      <c r="F188" s="61">
        <f t="shared" si="59"/>
        <v>11638.2</v>
      </c>
      <c r="G188" s="127">
        <f t="shared" si="59"/>
        <v>-28983.4</v>
      </c>
      <c r="H188" s="168">
        <f t="shared" si="59"/>
        <v>258083.10000000003</v>
      </c>
      <c r="I188" s="13">
        <f t="shared" si="59"/>
        <v>-740.9</v>
      </c>
      <c r="J188" s="13">
        <f t="shared" si="59"/>
        <v>0</v>
      </c>
      <c r="K188" s="62">
        <f t="shared" si="59"/>
        <v>257342.2</v>
      </c>
      <c r="L188" s="61">
        <f t="shared" si="59"/>
        <v>0</v>
      </c>
      <c r="M188" s="13">
        <f t="shared" si="59"/>
        <v>0</v>
      </c>
      <c r="N188" s="62">
        <f t="shared" si="59"/>
        <v>230588.40000000002</v>
      </c>
    </row>
    <row r="189" spans="1:14" ht="12.75">
      <c r="A189" s="74" t="s">
        <v>47</v>
      </c>
      <c r="B189" s="55"/>
      <c r="C189" s="9"/>
      <c r="D189" s="9"/>
      <c r="E189" s="56"/>
      <c r="F189" s="55"/>
      <c r="G189" s="18"/>
      <c r="H189" s="115"/>
      <c r="I189" s="9"/>
      <c r="J189" s="9"/>
      <c r="K189" s="56"/>
      <c r="L189" s="55"/>
      <c r="M189" s="9"/>
      <c r="N189" s="56"/>
    </row>
    <row r="190" spans="1:14" ht="12.75">
      <c r="A190" s="76" t="s">
        <v>80</v>
      </c>
      <c r="B190" s="53">
        <v>3994</v>
      </c>
      <c r="C190" s="8"/>
      <c r="D190" s="8"/>
      <c r="E190" s="54">
        <f>B190+C190+D190</f>
        <v>3994</v>
      </c>
      <c r="F190" s="53"/>
      <c r="G190" s="106"/>
      <c r="H190" s="15">
        <f>E190+F190+G190</f>
        <v>3994</v>
      </c>
      <c r="I190" s="10"/>
      <c r="J190" s="8"/>
      <c r="K190" s="54">
        <f>H190+I190+J190</f>
        <v>3994</v>
      </c>
      <c r="L190" s="53"/>
      <c r="M190" s="8"/>
      <c r="N190" s="54">
        <f>K190+L190+M190</f>
        <v>3994</v>
      </c>
    </row>
    <row r="191" spans="1:14" ht="12.75">
      <c r="A191" s="76" t="s">
        <v>243</v>
      </c>
      <c r="B191" s="53">
        <v>6000</v>
      </c>
      <c r="C191" s="8">
        <v>-280</v>
      </c>
      <c r="D191" s="8"/>
      <c r="E191" s="54">
        <f aca="true" t="shared" si="60" ref="E191:E221">B191+C191+D191</f>
        <v>5720</v>
      </c>
      <c r="F191" s="53"/>
      <c r="G191" s="106"/>
      <c r="H191" s="15">
        <f aca="true" t="shared" si="61" ref="H191:H214">E191+F191+G191</f>
        <v>5720</v>
      </c>
      <c r="I191" s="8"/>
      <c r="J191" s="8"/>
      <c r="K191" s="54">
        <f aca="true" t="shared" si="62" ref="K191:K221">H191+I191+J191</f>
        <v>5720</v>
      </c>
      <c r="L191" s="53"/>
      <c r="M191" s="8"/>
      <c r="N191" s="54">
        <f aca="true" t="shared" si="63" ref="N191:N214">K191+L191+M191</f>
        <v>5720</v>
      </c>
    </row>
    <row r="192" spans="1:14" ht="12.75">
      <c r="A192" s="85" t="s">
        <v>122</v>
      </c>
      <c r="B192" s="53">
        <v>1300</v>
      </c>
      <c r="C192" s="8"/>
      <c r="D192" s="8"/>
      <c r="E192" s="54">
        <f t="shared" si="60"/>
        <v>1300</v>
      </c>
      <c r="F192" s="53"/>
      <c r="G192" s="106"/>
      <c r="H192" s="15">
        <f t="shared" si="61"/>
        <v>1300</v>
      </c>
      <c r="I192" s="8"/>
      <c r="J192" s="8"/>
      <c r="K192" s="54">
        <f t="shared" si="62"/>
        <v>1300</v>
      </c>
      <c r="L192" s="53"/>
      <c r="M192" s="8"/>
      <c r="N192" s="54">
        <f t="shared" si="63"/>
        <v>1300</v>
      </c>
    </row>
    <row r="193" spans="1:14" ht="12.75">
      <c r="A193" s="85" t="s">
        <v>237</v>
      </c>
      <c r="B193" s="53"/>
      <c r="C193" s="8">
        <v>22988</v>
      </c>
      <c r="D193" s="8"/>
      <c r="E193" s="54">
        <f t="shared" si="60"/>
        <v>22988</v>
      </c>
      <c r="F193" s="53"/>
      <c r="G193" s="106"/>
      <c r="H193" s="15">
        <f t="shared" si="61"/>
        <v>22988</v>
      </c>
      <c r="I193" s="8"/>
      <c r="J193" s="8"/>
      <c r="K193" s="54">
        <f t="shared" si="62"/>
        <v>22988</v>
      </c>
      <c r="L193" s="53"/>
      <c r="M193" s="8"/>
      <c r="N193" s="54"/>
    </row>
    <row r="194" spans="1:14" ht="12.75">
      <c r="A194" s="74" t="s">
        <v>238</v>
      </c>
      <c r="B194" s="53"/>
      <c r="C194" s="8">
        <v>84.9</v>
      </c>
      <c r="D194" s="8"/>
      <c r="E194" s="54">
        <f t="shared" si="60"/>
        <v>84.9</v>
      </c>
      <c r="F194" s="53">
        <f>176.3+10.3</f>
        <v>186.60000000000002</v>
      </c>
      <c r="G194" s="106"/>
      <c r="H194" s="15">
        <f t="shared" si="61"/>
        <v>271.5</v>
      </c>
      <c r="I194" s="8"/>
      <c r="J194" s="8"/>
      <c r="K194" s="54">
        <f t="shared" si="62"/>
        <v>271.5</v>
      </c>
      <c r="L194" s="53"/>
      <c r="M194" s="8"/>
      <c r="N194" s="54"/>
    </row>
    <row r="195" spans="1:14" ht="12.75">
      <c r="A195" s="74" t="s">
        <v>265</v>
      </c>
      <c r="B195" s="53"/>
      <c r="C195" s="8">
        <f>141.6+1094</f>
        <v>1235.6</v>
      </c>
      <c r="D195" s="8"/>
      <c r="E195" s="54">
        <f t="shared" si="60"/>
        <v>1235.6</v>
      </c>
      <c r="F195" s="53"/>
      <c r="G195" s="106"/>
      <c r="H195" s="15">
        <f t="shared" si="61"/>
        <v>1235.6</v>
      </c>
      <c r="I195" s="8"/>
      <c r="J195" s="8"/>
      <c r="K195" s="54">
        <f t="shared" si="62"/>
        <v>1235.6</v>
      </c>
      <c r="L195" s="53"/>
      <c r="M195" s="8"/>
      <c r="N195" s="54"/>
    </row>
    <row r="196" spans="1:14" ht="12.75">
      <c r="A196" s="85" t="s">
        <v>239</v>
      </c>
      <c r="B196" s="53"/>
      <c r="C196" s="8"/>
      <c r="D196" s="8"/>
      <c r="E196" s="54">
        <f t="shared" si="60"/>
        <v>0</v>
      </c>
      <c r="F196" s="53">
        <v>1637.3</v>
      </c>
      <c r="G196" s="106"/>
      <c r="H196" s="15">
        <f t="shared" si="61"/>
        <v>1637.3</v>
      </c>
      <c r="I196" s="8">
        <v>26.7</v>
      </c>
      <c r="J196" s="8"/>
      <c r="K196" s="54">
        <f t="shared" si="62"/>
        <v>1664</v>
      </c>
      <c r="L196" s="53"/>
      <c r="M196" s="8"/>
      <c r="N196" s="54"/>
    </row>
    <row r="197" spans="1:14" ht="12.75">
      <c r="A197" s="85" t="s">
        <v>266</v>
      </c>
      <c r="B197" s="53"/>
      <c r="C197" s="8">
        <v>106.7</v>
      </c>
      <c r="D197" s="8"/>
      <c r="E197" s="54">
        <f t="shared" si="60"/>
        <v>106.7</v>
      </c>
      <c r="F197" s="53"/>
      <c r="G197" s="106"/>
      <c r="H197" s="15">
        <f t="shared" si="61"/>
        <v>106.7</v>
      </c>
      <c r="I197" s="8"/>
      <c r="J197" s="8"/>
      <c r="K197" s="54">
        <f t="shared" si="62"/>
        <v>106.7</v>
      </c>
      <c r="L197" s="53"/>
      <c r="M197" s="8"/>
      <c r="N197" s="54"/>
    </row>
    <row r="198" spans="1:14" ht="12.75">
      <c r="A198" s="85" t="s">
        <v>240</v>
      </c>
      <c r="B198" s="53"/>
      <c r="C198" s="8"/>
      <c r="D198" s="8"/>
      <c r="E198" s="54">
        <f t="shared" si="60"/>
        <v>0</v>
      </c>
      <c r="F198" s="53">
        <v>196.7</v>
      </c>
      <c r="G198" s="106"/>
      <c r="H198" s="15">
        <f t="shared" si="61"/>
        <v>196.7</v>
      </c>
      <c r="I198" s="8"/>
      <c r="J198" s="8"/>
      <c r="K198" s="54">
        <f t="shared" si="62"/>
        <v>196.7</v>
      </c>
      <c r="L198" s="53"/>
      <c r="M198" s="8"/>
      <c r="N198" s="54"/>
    </row>
    <row r="199" spans="1:14" ht="12.75">
      <c r="A199" s="74" t="s">
        <v>267</v>
      </c>
      <c r="B199" s="53"/>
      <c r="C199" s="8">
        <v>246.6</v>
      </c>
      <c r="D199" s="8"/>
      <c r="E199" s="54">
        <f t="shared" si="60"/>
        <v>246.6</v>
      </c>
      <c r="F199" s="53"/>
      <c r="G199" s="106"/>
      <c r="H199" s="15">
        <f t="shared" si="61"/>
        <v>246.6</v>
      </c>
      <c r="I199" s="8"/>
      <c r="J199" s="8"/>
      <c r="K199" s="54">
        <f t="shared" si="62"/>
        <v>246.6</v>
      </c>
      <c r="L199" s="53"/>
      <c r="M199" s="8"/>
      <c r="N199" s="54"/>
    </row>
    <row r="200" spans="1:14" ht="12.75">
      <c r="A200" s="85" t="s">
        <v>241</v>
      </c>
      <c r="B200" s="53"/>
      <c r="C200" s="8"/>
      <c r="D200" s="8"/>
      <c r="E200" s="54">
        <f t="shared" si="60"/>
        <v>0</v>
      </c>
      <c r="F200" s="53">
        <v>23.3</v>
      </c>
      <c r="G200" s="106"/>
      <c r="H200" s="15">
        <f t="shared" si="61"/>
        <v>23.3</v>
      </c>
      <c r="I200" s="8"/>
      <c r="J200" s="8"/>
      <c r="K200" s="54">
        <f t="shared" si="62"/>
        <v>23.3</v>
      </c>
      <c r="L200" s="53"/>
      <c r="M200" s="8"/>
      <c r="N200" s="54"/>
    </row>
    <row r="201" spans="1:14" ht="12.75" hidden="1">
      <c r="A201" s="75" t="s">
        <v>123</v>
      </c>
      <c r="B201" s="53"/>
      <c r="C201" s="8"/>
      <c r="D201" s="8"/>
      <c r="E201" s="54">
        <f t="shared" si="60"/>
        <v>0</v>
      </c>
      <c r="F201" s="53"/>
      <c r="G201" s="106"/>
      <c r="H201" s="15">
        <f t="shared" si="61"/>
        <v>0</v>
      </c>
      <c r="I201" s="8"/>
      <c r="J201" s="8"/>
      <c r="K201" s="54">
        <f t="shared" si="62"/>
        <v>0</v>
      </c>
      <c r="L201" s="53"/>
      <c r="M201" s="8"/>
      <c r="N201" s="54">
        <f t="shared" si="63"/>
        <v>0</v>
      </c>
    </row>
    <row r="202" spans="1:14" ht="12.75" hidden="1">
      <c r="A202" s="75" t="s">
        <v>124</v>
      </c>
      <c r="B202" s="53"/>
      <c r="C202" s="8"/>
      <c r="D202" s="8"/>
      <c r="E202" s="54">
        <f t="shared" si="60"/>
        <v>0</v>
      </c>
      <c r="F202" s="53"/>
      <c r="G202" s="106"/>
      <c r="H202" s="15">
        <f t="shared" si="61"/>
        <v>0</v>
      </c>
      <c r="I202" s="8"/>
      <c r="J202" s="8"/>
      <c r="K202" s="54">
        <f t="shared" si="62"/>
        <v>0</v>
      </c>
      <c r="L202" s="53"/>
      <c r="M202" s="8"/>
      <c r="N202" s="54">
        <f t="shared" si="63"/>
        <v>0</v>
      </c>
    </row>
    <row r="203" spans="1:14" ht="12.75" hidden="1">
      <c r="A203" s="85" t="s">
        <v>125</v>
      </c>
      <c r="B203" s="53"/>
      <c r="C203" s="8"/>
      <c r="D203" s="8"/>
      <c r="E203" s="54">
        <f t="shared" si="60"/>
        <v>0</v>
      </c>
      <c r="F203" s="53"/>
      <c r="G203" s="106"/>
      <c r="H203" s="15">
        <f t="shared" si="61"/>
        <v>0</v>
      </c>
      <c r="I203" s="8"/>
      <c r="J203" s="8"/>
      <c r="K203" s="54">
        <f t="shared" si="62"/>
        <v>0</v>
      </c>
      <c r="L203" s="53"/>
      <c r="M203" s="8"/>
      <c r="N203" s="54">
        <f t="shared" si="63"/>
        <v>0</v>
      </c>
    </row>
    <row r="204" spans="1:14" ht="12.75">
      <c r="A204" s="76" t="s">
        <v>224</v>
      </c>
      <c r="B204" s="53"/>
      <c r="C204" s="8">
        <v>68713.2</v>
      </c>
      <c r="D204" s="8"/>
      <c r="E204" s="54">
        <f t="shared" si="60"/>
        <v>68713.2</v>
      </c>
      <c r="F204" s="53"/>
      <c r="G204" s="106"/>
      <c r="H204" s="15">
        <f t="shared" si="61"/>
        <v>68713.2</v>
      </c>
      <c r="I204" s="8"/>
      <c r="J204" s="8"/>
      <c r="K204" s="54">
        <f t="shared" si="62"/>
        <v>68713.2</v>
      </c>
      <c r="L204" s="53"/>
      <c r="M204" s="8"/>
      <c r="N204" s="54">
        <f t="shared" si="63"/>
        <v>68713.2</v>
      </c>
    </row>
    <row r="205" spans="1:14" ht="12.75">
      <c r="A205" s="85" t="s">
        <v>225</v>
      </c>
      <c r="B205" s="53"/>
      <c r="C205" s="8">
        <v>27929.3</v>
      </c>
      <c r="D205" s="8"/>
      <c r="E205" s="54">
        <f t="shared" si="60"/>
        <v>27929.3</v>
      </c>
      <c r="F205" s="53"/>
      <c r="G205" s="106"/>
      <c r="H205" s="15">
        <f t="shared" si="61"/>
        <v>27929.3</v>
      </c>
      <c r="I205" s="8"/>
      <c r="J205" s="8"/>
      <c r="K205" s="54">
        <f t="shared" si="62"/>
        <v>27929.3</v>
      </c>
      <c r="L205" s="53"/>
      <c r="M205" s="8"/>
      <c r="N205" s="54">
        <f t="shared" si="63"/>
        <v>27929.3</v>
      </c>
    </row>
    <row r="206" spans="1:14" ht="12.75">
      <c r="A206" s="85" t="s">
        <v>226</v>
      </c>
      <c r="B206" s="53"/>
      <c r="C206" s="8">
        <v>34281.8</v>
      </c>
      <c r="D206" s="8"/>
      <c r="E206" s="54">
        <f t="shared" si="60"/>
        <v>34281.8</v>
      </c>
      <c r="F206" s="53"/>
      <c r="G206" s="106"/>
      <c r="H206" s="15">
        <f t="shared" si="61"/>
        <v>34281.8</v>
      </c>
      <c r="I206" s="8"/>
      <c r="J206" s="8"/>
      <c r="K206" s="54">
        <f t="shared" si="62"/>
        <v>34281.8</v>
      </c>
      <c r="L206" s="53"/>
      <c r="M206" s="8"/>
      <c r="N206" s="54">
        <f t="shared" si="63"/>
        <v>34281.8</v>
      </c>
    </row>
    <row r="207" spans="1:14" ht="12.75">
      <c r="A207" s="76" t="s">
        <v>227</v>
      </c>
      <c r="B207" s="53"/>
      <c r="C207" s="8">
        <v>277.2</v>
      </c>
      <c r="D207" s="8"/>
      <c r="E207" s="54">
        <f t="shared" si="60"/>
        <v>277.2</v>
      </c>
      <c r="F207" s="53"/>
      <c r="G207" s="106"/>
      <c r="H207" s="15">
        <f t="shared" si="61"/>
        <v>277.2</v>
      </c>
      <c r="I207" s="8"/>
      <c r="J207" s="8"/>
      <c r="K207" s="54">
        <f t="shared" si="62"/>
        <v>277.2</v>
      </c>
      <c r="L207" s="53"/>
      <c r="M207" s="8"/>
      <c r="N207" s="54">
        <f t="shared" si="63"/>
        <v>277.2</v>
      </c>
    </row>
    <row r="208" spans="1:14" ht="12.75">
      <c r="A208" s="76" t="s">
        <v>126</v>
      </c>
      <c r="B208" s="53"/>
      <c r="C208" s="8"/>
      <c r="D208" s="8"/>
      <c r="E208" s="54">
        <f t="shared" si="60"/>
        <v>0</v>
      </c>
      <c r="F208" s="53">
        <v>141.7</v>
      </c>
      <c r="G208" s="106"/>
      <c r="H208" s="15">
        <f t="shared" si="61"/>
        <v>141.7</v>
      </c>
      <c r="I208" s="8"/>
      <c r="J208" s="8"/>
      <c r="K208" s="54">
        <f t="shared" si="62"/>
        <v>141.7</v>
      </c>
      <c r="L208" s="53"/>
      <c r="M208" s="8"/>
      <c r="N208" s="54">
        <f t="shared" si="63"/>
        <v>141.7</v>
      </c>
    </row>
    <row r="209" spans="1:14" ht="12.75">
      <c r="A209" s="76" t="s">
        <v>127</v>
      </c>
      <c r="B209" s="53"/>
      <c r="C209" s="8"/>
      <c r="D209" s="8"/>
      <c r="E209" s="54">
        <f t="shared" si="60"/>
        <v>0</v>
      </c>
      <c r="F209" s="53"/>
      <c r="G209" s="106"/>
      <c r="H209" s="15">
        <f t="shared" si="61"/>
        <v>0</v>
      </c>
      <c r="I209" s="8"/>
      <c r="J209" s="8"/>
      <c r="K209" s="54">
        <f t="shared" si="62"/>
        <v>0</v>
      </c>
      <c r="L209" s="53"/>
      <c r="M209" s="8"/>
      <c r="N209" s="54">
        <f t="shared" si="63"/>
        <v>0</v>
      </c>
    </row>
    <row r="210" spans="1:14" ht="12.75">
      <c r="A210" s="76" t="s">
        <v>278</v>
      </c>
      <c r="B210" s="53"/>
      <c r="C210" s="8"/>
      <c r="D210" s="8"/>
      <c r="E210" s="54"/>
      <c r="F210" s="53"/>
      <c r="G210" s="106"/>
      <c r="H210" s="15">
        <f t="shared" si="61"/>
        <v>0</v>
      </c>
      <c r="I210" s="8">
        <v>21.4</v>
      </c>
      <c r="J210" s="8"/>
      <c r="K210" s="54">
        <f t="shared" si="62"/>
        <v>21.4</v>
      </c>
      <c r="L210" s="53"/>
      <c r="M210" s="8"/>
      <c r="N210" s="54"/>
    </row>
    <row r="211" spans="1:14" ht="12.75">
      <c r="A211" s="76" t="s">
        <v>128</v>
      </c>
      <c r="B211" s="53">
        <v>13000</v>
      </c>
      <c r="C211" s="8">
        <v>13000</v>
      </c>
      <c r="D211" s="8">
        <f>-13000</f>
        <v>-13000</v>
      </c>
      <c r="E211" s="54">
        <f t="shared" si="60"/>
        <v>13000</v>
      </c>
      <c r="F211" s="53">
        <v>-13000</v>
      </c>
      <c r="G211" s="106"/>
      <c r="H211" s="15">
        <f t="shared" si="61"/>
        <v>0</v>
      </c>
      <c r="I211" s="8"/>
      <c r="J211" s="8"/>
      <c r="K211" s="54">
        <f t="shared" si="62"/>
        <v>0</v>
      </c>
      <c r="L211" s="53"/>
      <c r="M211" s="8"/>
      <c r="N211" s="54">
        <f t="shared" si="63"/>
        <v>0</v>
      </c>
    </row>
    <row r="212" spans="1:14" ht="12.75">
      <c r="A212" s="76" t="s">
        <v>114</v>
      </c>
      <c r="B212" s="53">
        <v>79730.4</v>
      </c>
      <c r="C212" s="8">
        <f>-2520-4000-699.1+14555-50573.4</f>
        <v>-43237.5</v>
      </c>
      <c r="D212" s="8">
        <f>-4457.9-500</f>
        <v>-4957.9</v>
      </c>
      <c r="E212" s="54">
        <f t="shared" si="60"/>
        <v>31534.999999999993</v>
      </c>
      <c r="F212" s="53">
        <f>14669.7+770</f>
        <v>15439.7</v>
      </c>
      <c r="G212" s="106">
        <v>150</v>
      </c>
      <c r="H212" s="15">
        <f t="shared" si="61"/>
        <v>47124.7</v>
      </c>
      <c r="I212" s="8">
        <v>11</v>
      </c>
      <c r="J212" s="8"/>
      <c r="K212" s="54">
        <f t="shared" si="62"/>
        <v>47135.7</v>
      </c>
      <c r="L212" s="70"/>
      <c r="M212" s="8"/>
      <c r="N212" s="54">
        <f t="shared" si="63"/>
        <v>47135.7</v>
      </c>
    </row>
    <row r="213" spans="1:14" ht="12.75">
      <c r="A213" s="76" t="s">
        <v>228</v>
      </c>
      <c r="B213" s="53"/>
      <c r="C213" s="8">
        <v>12572.2</v>
      </c>
      <c r="D213" s="8">
        <v>-500</v>
      </c>
      <c r="E213" s="54">
        <f t="shared" si="60"/>
        <v>12072.2</v>
      </c>
      <c r="F213" s="53">
        <f>14669.7-2220</f>
        <v>12449.7</v>
      </c>
      <c r="G213" s="106"/>
      <c r="H213" s="15">
        <f t="shared" si="61"/>
        <v>24521.9</v>
      </c>
      <c r="I213" s="8"/>
      <c r="J213" s="8"/>
      <c r="K213" s="54">
        <f t="shared" si="62"/>
        <v>24521.9</v>
      </c>
      <c r="L213" s="53"/>
      <c r="M213" s="8"/>
      <c r="N213" s="54">
        <f t="shared" si="63"/>
        <v>24521.9</v>
      </c>
    </row>
    <row r="214" spans="1:14" ht="12.75">
      <c r="A214" s="76" t="s">
        <v>99</v>
      </c>
      <c r="B214" s="53">
        <f>SUM(B215:B221)</f>
        <v>60100</v>
      </c>
      <c r="C214" s="106">
        <f>SUM(C215:C221)</f>
        <v>5916</v>
      </c>
      <c r="D214" s="106">
        <f>SUM(D215:D221)</f>
        <v>-2000</v>
      </c>
      <c r="E214" s="54">
        <f t="shared" si="60"/>
        <v>64016</v>
      </c>
      <c r="F214" s="53">
        <f>SUM(F215:F221)</f>
        <v>7012.9</v>
      </c>
      <c r="G214" s="106">
        <f>SUM(G215:G221)</f>
        <v>-29133.4</v>
      </c>
      <c r="H214" s="15">
        <f t="shared" si="61"/>
        <v>41895.49999999999</v>
      </c>
      <c r="I214" s="8">
        <f>SUM(I215:I221)</f>
        <v>-800</v>
      </c>
      <c r="J214" s="8"/>
      <c r="K214" s="54">
        <f t="shared" si="62"/>
        <v>41095.49999999999</v>
      </c>
      <c r="L214" s="53"/>
      <c r="M214" s="8"/>
      <c r="N214" s="54">
        <f t="shared" si="63"/>
        <v>41095.49999999999</v>
      </c>
    </row>
    <row r="215" spans="1:14" ht="12.75">
      <c r="A215" s="79" t="s">
        <v>229</v>
      </c>
      <c r="B215" s="57">
        <v>7500</v>
      </c>
      <c r="C215" s="11"/>
      <c r="D215" s="11"/>
      <c r="E215" s="58">
        <f t="shared" si="60"/>
        <v>7500</v>
      </c>
      <c r="F215" s="57"/>
      <c r="G215" s="17">
        <v>-2533.4</v>
      </c>
      <c r="H215" s="169">
        <f aca="true" t="shared" si="64" ref="H215:H221">SUM(E215:G215)</f>
        <v>4966.6</v>
      </c>
      <c r="I215" s="11"/>
      <c r="J215" s="11"/>
      <c r="K215" s="58">
        <f t="shared" si="62"/>
        <v>4966.6</v>
      </c>
      <c r="L215" s="53"/>
      <c r="M215" s="8"/>
      <c r="N215" s="54">
        <f aca="true" t="shared" si="65" ref="N215:N221">SUM(K215:M215)</f>
        <v>4966.6</v>
      </c>
    </row>
    <row r="216" spans="1:14" ht="12.75">
      <c r="A216" s="76" t="s">
        <v>129</v>
      </c>
      <c r="B216" s="53">
        <v>6500</v>
      </c>
      <c r="C216" s="8"/>
      <c r="D216" s="8"/>
      <c r="E216" s="54">
        <f t="shared" si="60"/>
        <v>6500</v>
      </c>
      <c r="F216" s="53"/>
      <c r="G216" s="106"/>
      <c r="H216" s="15">
        <f t="shared" si="64"/>
        <v>6500</v>
      </c>
      <c r="I216" s="8"/>
      <c r="J216" s="8"/>
      <c r="K216" s="54">
        <f t="shared" si="62"/>
        <v>6500</v>
      </c>
      <c r="L216" s="53"/>
      <c r="M216" s="8"/>
      <c r="N216" s="54">
        <f t="shared" si="65"/>
        <v>6500</v>
      </c>
    </row>
    <row r="217" spans="1:14" ht="12.75">
      <c r="A217" s="76" t="s">
        <v>130</v>
      </c>
      <c r="B217" s="53">
        <v>2000</v>
      </c>
      <c r="C217" s="8">
        <f>810-1000</f>
        <v>-190</v>
      </c>
      <c r="D217" s="8"/>
      <c r="E217" s="54">
        <f t="shared" si="60"/>
        <v>1810</v>
      </c>
      <c r="F217" s="53">
        <v>110</v>
      </c>
      <c r="G217" s="106"/>
      <c r="H217" s="15">
        <f t="shared" si="64"/>
        <v>1920</v>
      </c>
      <c r="I217" s="8"/>
      <c r="J217" s="8"/>
      <c r="K217" s="54">
        <f t="shared" si="62"/>
        <v>1920</v>
      </c>
      <c r="L217" s="53"/>
      <c r="M217" s="8"/>
      <c r="N217" s="54">
        <f t="shared" si="65"/>
        <v>1920</v>
      </c>
    </row>
    <row r="218" spans="1:14" ht="12.75">
      <c r="A218" s="76" t="s">
        <v>131</v>
      </c>
      <c r="B218" s="53">
        <v>2000</v>
      </c>
      <c r="C218" s="8"/>
      <c r="D218" s="8"/>
      <c r="E218" s="54">
        <f t="shared" si="60"/>
        <v>2000</v>
      </c>
      <c r="F218" s="53"/>
      <c r="G218" s="106"/>
      <c r="H218" s="15">
        <f t="shared" si="64"/>
        <v>2000</v>
      </c>
      <c r="I218" s="8"/>
      <c r="J218" s="8"/>
      <c r="K218" s="54">
        <f t="shared" si="62"/>
        <v>2000</v>
      </c>
      <c r="L218" s="53"/>
      <c r="M218" s="8"/>
      <c r="N218" s="54">
        <f t="shared" si="65"/>
        <v>2000</v>
      </c>
    </row>
    <row r="219" spans="1:14" ht="12.75">
      <c r="A219" s="76" t="s">
        <v>132</v>
      </c>
      <c r="B219" s="53">
        <v>5000</v>
      </c>
      <c r="C219" s="8"/>
      <c r="D219" s="8"/>
      <c r="E219" s="54">
        <f t="shared" si="60"/>
        <v>5000</v>
      </c>
      <c r="F219" s="53">
        <v>8000</v>
      </c>
      <c r="G219" s="106"/>
      <c r="H219" s="15">
        <f t="shared" si="64"/>
        <v>13000</v>
      </c>
      <c r="I219" s="8">
        <v>700</v>
      </c>
      <c r="J219" s="8"/>
      <c r="K219" s="54">
        <f t="shared" si="62"/>
        <v>13700</v>
      </c>
      <c r="L219" s="53"/>
      <c r="M219" s="8"/>
      <c r="N219" s="54">
        <f t="shared" si="65"/>
        <v>13700</v>
      </c>
    </row>
    <row r="220" spans="1:14" ht="12.75">
      <c r="A220" s="76" t="s">
        <v>133</v>
      </c>
      <c r="B220" s="53">
        <v>26600</v>
      </c>
      <c r="C220" s="8"/>
      <c r="D220" s="8"/>
      <c r="E220" s="54">
        <f t="shared" si="60"/>
        <v>26600</v>
      </c>
      <c r="F220" s="53"/>
      <c r="G220" s="106">
        <v>-26600</v>
      </c>
      <c r="H220" s="15">
        <f t="shared" si="64"/>
        <v>0</v>
      </c>
      <c r="I220" s="8"/>
      <c r="J220" s="8"/>
      <c r="K220" s="54">
        <f t="shared" si="62"/>
        <v>0</v>
      </c>
      <c r="L220" s="53"/>
      <c r="M220" s="8"/>
      <c r="N220" s="54">
        <f t="shared" si="65"/>
        <v>0</v>
      </c>
    </row>
    <row r="221" spans="1:14" ht="12.75">
      <c r="A221" s="76" t="s">
        <v>134</v>
      </c>
      <c r="B221" s="53">
        <v>10500</v>
      </c>
      <c r="C221" s="8">
        <v>6106</v>
      </c>
      <c r="D221" s="8">
        <v>-2000</v>
      </c>
      <c r="E221" s="54">
        <f t="shared" si="60"/>
        <v>14606</v>
      </c>
      <c r="F221" s="53">
        <v>-1097.1</v>
      </c>
      <c r="G221" s="106"/>
      <c r="H221" s="15">
        <f t="shared" si="64"/>
        <v>13508.9</v>
      </c>
      <c r="I221" s="8">
        <v>-1500</v>
      </c>
      <c r="J221" s="8"/>
      <c r="K221" s="54">
        <f t="shared" si="62"/>
        <v>12008.9</v>
      </c>
      <c r="L221" s="53"/>
      <c r="M221" s="8"/>
      <c r="N221" s="54">
        <f t="shared" si="65"/>
        <v>12008.9</v>
      </c>
    </row>
    <row r="222" spans="1:14" ht="12.75">
      <c r="A222" s="83" t="s">
        <v>83</v>
      </c>
      <c r="B222" s="63">
        <f aca="true" t="shared" si="66" ref="B222:N222">SUM(B224:B239)</f>
        <v>143167.6</v>
      </c>
      <c r="C222" s="14">
        <f t="shared" si="66"/>
        <v>-40098.79999999999</v>
      </c>
      <c r="D222" s="14">
        <f t="shared" si="66"/>
        <v>-49312.7</v>
      </c>
      <c r="E222" s="64">
        <f t="shared" si="66"/>
        <v>53756.100000000006</v>
      </c>
      <c r="F222" s="63">
        <f t="shared" si="66"/>
        <v>11718.3</v>
      </c>
      <c r="G222" s="128">
        <f t="shared" si="66"/>
        <v>2383.4</v>
      </c>
      <c r="H222" s="147">
        <f t="shared" si="66"/>
        <v>67857.8</v>
      </c>
      <c r="I222" s="14">
        <f t="shared" si="66"/>
        <v>2367.8999999999996</v>
      </c>
      <c r="J222" s="14">
        <f t="shared" si="66"/>
        <v>0</v>
      </c>
      <c r="K222" s="64">
        <f t="shared" si="66"/>
        <v>70225.70000000001</v>
      </c>
      <c r="L222" s="63">
        <f t="shared" si="66"/>
        <v>0</v>
      </c>
      <c r="M222" s="14">
        <f t="shared" si="66"/>
        <v>0</v>
      </c>
      <c r="N222" s="64">
        <f t="shared" si="66"/>
        <v>64041.500000000015</v>
      </c>
    </row>
    <row r="223" spans="1:14" ht="12.75">
      <c r="A223" s="85" t="s">
        <v>47</v>
      </c>
      <c r="B223" s="53"/>
      <c r="C223" s="8"/>
      <c r="D223" s="8"/>
      <c r="E223" s="54"/>
      <c r="F223" s="53"/>
      <c r="G223" s="106"/>
      <c r="H223" s="15"/>
      <c r="I223" s="8"/>
      <c r="J223" s="8"/>
      <c r="K223" s="54"/>
      <c r="L223" s="53"/>
      <c r="M223" s="8"/>
      <c r="N223" s="54"/>
    </row>
    <row r="224" spans="1:14" ht="12.75">
      <c r="A224" s="76" t="s">
        <v>252</v>
      </c>
      <c r="B224" s="53"/>
      <c r="C224" s="8">
        <v>280</v>
      </c>
      <c r="D224" s="8"/>
      <c r="E224" s="54">
        <f aca="true" t="shared" si="67" ref="E224:E239">B224+C224+D224</f>
        <v>280</v>
      </c>
      <c r="F224" s="53"/>
      <c r="G224" s="106"/>
      <c r="H224" s="15">
        <f aca="true" t="shared" si="68" ref="H224:H239">E224+F224+G224</f>
        <v>280</v>
      </c>
      <c r="I224" s="8"/>
      <c r="J224" s="8"/>
      <c r="K224" s="54">
        <f aca="true" t="shared" si="69" ref="K224:K239">H224+I224+J224</f>
        <v>280</v>
      </c>
      <c r="L224" s="53"/>
      <c r="M224" s="8"/>
      <c r="N224" s="54">
        <f aca="true" t="shared" si="70" ref="N224:N239">K224+L224+M224</f>
        <v>280</v>
      </c>
    </row>
    <row r="225" spans="1:14" ht="12.75" hidden="1">
      <c r="A225" s="76" t="s">
        <v>135</v>
      </c>
      <c r="B225" s="53"/>
      <c r="C225" s="8"/>
      <c r="D225" s="8"/>
      <c r="E225" s="54">
        <f t="shared" si="67"/>
        <v>0</v>
      </c>
      <c r="F225" s="53"/>
      <c r="G225" s="106"/>
      <c r="H225" s="15">
        <f t="shared" si="68"/>
        <v>0</v>
      </c>
      <c r="I225" s="8"/>
      <c r="J225" s="8"/>
      <c r="K225" s="54">
        <f t="shared" si="69"/>
        <v>0</v>
      </c>
      <c r="L225" s="53"/>
      <c r="M225" s="8"/>
      <c r="N225" s="54">
        <f t="shared" si="70"/>
        <v>0</v>
      </c>
    </row>
    <row r="226" spans="1:14" ht="12.75" hidden="1">
      <c r="A226" s="85" t="s">
        <v>125</v>
      </c>
      <c r="B226" s="53"/>
      <c r="C226" s="8"/>
      <c r="D226" s="8"/>
      <c r="E226" s="54">
        <f t="shared" si="67"/>
        <v>0</v>
      </c>
      <c r="F226" s="53"/>
      <c r="G226" s="106"/>
      <c r="H226" s="15">
        <f t="shared" si="68"/>
        <v>0</v>
      </c>
      <c r="I226" s="8"/>
      <c r="J226" s="8"/>
      <c r="K226" s="54">
        <f t="shared" si="69"/>
        <v>0</v>
      </c>
      <c r="L226" s="53"/>
      <c r="M226" s="8"/>
      <c r="N226" s="54">
        <f t="shared" si="70"/>
        <v>0</v>
      </c>
    </row>
    <row r="227" spans="1:14" ht="12.75" hidden="1">
      <c r="A227" s="75" t="s">
        <v>124</v>
      </c>
      <c r="B227" s="53"/>
      <c r="C227" s="8"/>
      <c r="D227" s="8"/>
      <c r="E227" s="54">
        <f t="shared" si="67"/>
        <v>0</v>
      </c>
      <c r="F227" s="53"/>
      <c r="G227" s="106"/>
      <c r="H227" s="15">
        <f t="shared" si="68"/>
        <v>0</v>
      </c>
      <c r="I227" s="8"/>
      <c r="J227" s="8"/>
      <c r="K227" s="54">
        <f t="shared" si="69"/>
        <v>0</v>
      </c>
      <c r="L227" s="53"/>
      <c r="M227" s="8"/>
      <c r="N227" s="54">
        <f t="shared" si="70"/>
        <v>0</v>
      </c>
    </row>
    <row r="228" spans="1:14" ht="12.75" hidden="1">
      <c r="A228" s="76" t="s">
        <v>136</v>
      </c>
      <c r="B228" s="53"/>
      <c r="C228" s="8"/>
      <c r="D228" s="8"/>
      <c r="E228" s="54">
        <f t="shared" si="67"/>
        <v>0</v>
      </c>
      <c r="F228" s="53"/>
      <c r="G228" s="106"/>
      <c r="H228" s="15">
        <f t="shared" si="68"/>
        <v>0</v>
      </c>
      <c r="I228" s="8"/>
      <c r="J228" s="8"/>
      <c r="K228" s="54">
        <f t="shared" si="69"/>
        <v>0</v>
      </c>
      <c r="L228" s="53"/>
      <c r="M228" s="8"/>
      <c r="N228" s="54">
        <f t="shared" si="70"/>
        <v>0</v>
      </c>
    </row>
    <row r="229" spans="1:14" ht="12.75">
      <c r="A229" s="85" t="s">
        <v>237</v>
      </c>
      <c r="B229" s="53"/>
      <c r="C229" s="8">
        <v>2553.7</v>
      </c>
      <c r="D229" s="8"/>
      <c r="E229" s="54">
        <f t="shared" si="67"/>
        <v>2553.7</v>
      </c>
      <c r="F229" s="53"/>
      <c r="G229" s="106"/>
      <c r="H229" s="15">
        <f t="shared" si="68"/>
        <v>2553.7</v>
      </c>
      <c r="I229" s="8"/>
      <c r="J229" s="8"/>
      <c r="K229" s="54">
        <f t="shared" si="69"/>
        <v>2553.7</v>
      </c>
      <c r="L229" s="53"/>
      <c r="M229" s="8"/>
      <c r="N229" s="54"/>
    </row>
    <row r="230" spans="1:14" ht="12.75">
      <c r="A230" s="74" t="s">
        <v>230</v>
      </c>
      <c r="B230" s="53"/>
      <c r="C230" s="8">
        <v>3905.4</v>
      </c>
      <c r="D230" s="8"/>
      <c r="E230" s="54">
        <f t="shared" si="67"/>
        <v>3905.4</v>
      </c>
      <c r="F230" s="53">
        <v>12.7</v>
      </c>
      <c r="G230" s="106"/>
      <c r="H230" s="15">
        <f t="shared" si="68"/>
        <v>3918.1</v>
      </c>
      <c r="I230" s="8"/>
      <c r="J230" s="8"/>
      <c r="K230" s="54">
        <f t="shared" si="69"/>
        <v>3918.1</v>
      </c>
      <c r="L230" s="53"/>
      <c r="M230" s="8"/>
      <c r="N230" s="54">
        <f t="shared" si="70"/>
        <v>3918.1</v>
      </c>
    </row>
    <row r="231" spans="1:14" ht="12.75">
      <c r="A231" s="74" t="s">
        <v>231</v>
      </c>
      <c r="B231" s="53"/>
      <c r="C231" s="8">
        <v>1962.4</v>
      </c>
      <c r="D231" s="8"/>
      <c r="E231" s="54">
        <f t="shared" si="67"/>
        <v>1962.4</v>
      </c>
      <c r="F231" s="53"/>
      <c r="G231" s="106"/>
      <c r="H231" s="15">
        <f t="shared" si="68"/>
        <v>1962.4</v>
      </c>
      <c r="I231" s="8"/>
      <c r="J231" s="8"/>
      <c r="K231" s="54">
        <f t="shared" si="69"/>
        <v>1962.4</v>
      </c>
      <c r="L231" s="53"/>
      <c r="M231" s="8"/>
      <c r="N231" s="54">
        <f t="shared" si="70"/>
        <v>1962.4</v>
      </c>
    </row>
    <row r="232" spans="1:14" ht="12.75">
      <c r="A232" s="85" t="s">
        <v>226</v>
      </c>
      <c r="B232" s="53"/>
      <c r="C232" s="8">
        <v>2367.7</v>
      </c>
      <c r="D232" s="8"/>
      <c r="E232" s="54">
        <f t="shared" si="67"/>
        <v>2367.7</v>
      </c>
      <c r="F232" s="53"/>
      <c r="G232" s="106"/>
      <c r="H232" s="15">
        <f t="shared" si="68"/>
        <v>2367.7</v>
      </c>
      <c r="I232" s="8"/>
      <c r="J232" s="8"/>
      <c r="K232" s="54">
        <f t="shared" si="69"/>
        <v>2367.7</v>
      </c>
      <c r="L232" s="53"/>
      <c r="M232" s="8"/>
      <c r="N232" s="54">
        <f t="shared" si="70"/>
        <v>2367.7</v>
      </c>
    </row>
    <row r="233" spans="1:14" ht="12.75" hidden="1">
      <c r="A233" s="76" t="s">
        <v>127</v>
      </c>
      <c r="B233" s="53"/>
      <c r="C233" s="8"/>
      <c r="D233" s="8"/>
      <c r="E233" s="54">
        <f t="shared" si="67"/>
        <v>0</v>
      </c>
      <c r="F233" s="53"/>
      <c r="G233" s="106"/>
      <c r="H233" s="15">
        <f t="shared" si="68"/>
        <v>0</v>
      </c>
      <c r="I233" s="8"/>
      <c r="J233" s="8"/>
      <c r="K233" s="54">
        <f t="shared" si="69"/>
        <v>0</v>
      </c>
      <c r="L233" s="53"/>
      <c r="M233" s="8"/>
      <c r="N233" s="54">
        <f t="shared" si="70"/>
        <v>0</v>
      </c>
    </row>
    <row r="234" spans="1:14" ht="12.75" hidden="1">
      <c r="A234" s="76" t="s">
        <v>84</v>
      </c>
      <c r="B234" s="53"/>
      <c r="C234" s="8"/>
      <c r="D234" s="8"/>
      <c r="E234" s="54">
        <f t="shared" si="67"/>
        <v>0</v>
      </c>
      <c r="F234" s="53"/>
      <c r="G234" s="106"/>
      <c r="H234" s="15">
        <f t="shared" si="68"/>
        <v>0</v>
      </c>
      <c r="I234" s="8"/>
      <c r="J234" s="8"/>
      <c r="K234" s="54">
        <f t="shared" si="69"/>
        <v>0</v>
      </c>
      <c r="L234" s="53"/>
      <c r="M234" s="8"/>
      <c r="N234" s="54">
        <f t="shared" si="70"/>
        <v>0</v>
      </c>
    </row>
    <row r="235" spans="1:14" ht="12.75">
      <c r="A235" s="74" t="s">
        <v>251</v>
      </c>
      <c r="B235" s="53"/>
      <c r="C235" s="8">
        <v>690</v>
      </c>
      <c r="D235" s="8"/>
      <c r="E235" s="54">
        <f t="shared" si="67"/>
        <v>690</v>
      </c>
      <c r="F235" s="53">
        <f>-110-580</f>
        <v>-690</v>
      </c>
      <c r="G235" s="106"/>
      <c r="H235" s="15">
        <f t="shared" si="68"/>
        <v>0</v>
      </c>
      <c r="I235" s="8"/>
      <c r="J235" s="8"/>
      <c r="K235" s="54">
        <f t="shared" si="69"/>
        <v>0</v>
      </c>
      <c r="L235" s="53"/>
      <c r="M235" s="8"/>
      <c r="N235" s="54"/>
    </row>
    <row r="236" spans="1:14" ht="12.75">
      <c r="A236" s="74" t="s">
        <v>264</v>
      </c>
      <c r="B236" s="53"/>
      <c r="C236" s="8"/>
      <c r="D236" s="8"/>
      <c r="E236" s="54">
        <f t="shared" si="67"/>
        <v>0</v>
      </c>
      <c r="F236" s="53">
        <v>1097.1</v>
      </c>
      <c r="G236" s="106"/>
      <c r="H236" s="15">
        <f t="shared" si="68"/>
        <v>1097.1</v>
      </c>
      <c r="I236" s="8"/>
      <c r="J236" s="8"/>
      <c r="K236" s="54">
        <f t="shared" si="69"/>
        <v>1097.1</v>
      </c>
      <c r="L236" s="53"/>
      <c r="M236" s="8"/>
      <c r="N236" s="54"/>
    </row>
    <row r="237" spans="1:14" ht="12.75">
      <c r="A237" s="74" t="s">
        <v>269</v>
      </c>
      <c r="B237" s="53"/>
      <c r="C237" s="8"/>
      <c r="D237" s="8"/>
      <c r="E237" s="54">
        <f t="shared" si="67"/>
        <v>0</v>
      </c>
      <c r="F237" s="53"/>
      <c r="G237" s="106">
        <v>2533.4</v>
      </c>
      <c r="H237" s="15">
        <f t="shared" si="68"/>
        <v>2533.4</v>
      </c>
      <c r="I237" s="8"/>
      <c r="J237" s="8"/>
      <c r="K237" s="54">
        <f t="shared" si="69"/>
        <v>2533.4</v>
      </c>
      <c r="L237" s="53"/>
      <c r="M237" s="8"/>
      <c r="N237" s="54"/>
    </row>
    <row r="238" spans="1:14" ht="12.75">
      <c r="A238" s="76" t="s">
        <v>128</v>
      </c>
      <c r="B238" s="53">
        <v>12000</v>
      </c>
      <c r="C238" s="8">
        <v>4500</v>
      </c>
      <c r="D238" s="8">
        <f>-12000+2000</f>
        <v>-10000</v>
      </c>
      <c r="E238" s="54">
        <f t="shared" si="67"/>
        <v>6500</v>
      </c>
      <c r="F238" s="53">
        <v>-6500</v>
      </c>
      <c r="G238" s="106"/>
      <c r="H238" s="15">
        <f t="shared" si="68"/>
        <v>0</v>
      </c>
      <c r="I238" s="8"/>
      <c r="J238" s="8"/>
      <c r="K238" s="54">
        <f t="shared" si="69"/>
        <v>0</v>
      </c>
      <c r="L238" s="53"/>
      <c r="M238" s="8"/>
      <c r="N238" s="54">
        <f t="shared" si="70"/>
        <v>0</v>
      </c>
    </row>
    <row r="239" spans="1:14" ht="12.75">
      <c r="A239" s="79" t="s">
        <v>114</v>
      </c>
      <c r="B239" s="57">
        <v>131167.6</v>
      </c>
      <c r="C239" s="11">
        <f>35496.9-91854.9</f>
        <v>-56357.99999999999</v>
      </c>
      <c r="D239" s="11">
        <v>-39312.7</v>
      </c>
      <c r="E239" s="58">
        <f t="shared" si="67"/>
        <v>35496.90000000001</v>
      </c>
      <c r="F239" s="57">
        <f>4783+24933.6+15153.6+1203.8-14669.7-770-2142.8-11597.4+904.4</f>
        <v>17798.5</v>
      </c>
      <c r="G239" s="17">
        <v>-150</v>
      </c>
      <c r="H239" s="169">
        <f t="shared" si="68"/>
        <v>53145.40000000001</v>
      </c>
      <c r="I239" s="11">
        <f>1145.6+1233.3-11</f>
        <v>2367.8999999999996</v>
      </c>
      <c r="J239" s="11"/>
      <c r="K239" s="58">
        <f t="shared" si="69"/>
        <v>55513.30000000001</v>
      </c>
      <c r="L239" s="53"/>
      <c r="M239" s="8"/>
      <c r="N239" s="54">
        <f t="shared" si="70"/>
        <v>55513.30000000001</v>
      </c>
    </row>
    <row r="240" spans="1:14" ht="12.75">
      <c r="A240" s="73" t="s">
        <v>137</v>
      </c>
      <c r="B240" s="51">
        <f aca="true" t="shared" si="71" ref="B240:N240">B241+B275</f>
        <v>338057.8</v>
      </c>
      <c r="C240" s="7">
        <f t="shared" si="71"/>
        <v>1220079.9999999998</v>
      </c>
      <c r="D240" s="7">
        <f t="shared" si="71"/>
        <v>43620.3</v>
      </c>
      <c r="E240" s="52">
        <f t="shared" si="71"/>
        <v>1601758.0999999999</v>
      </c>
      <c r="F240" s="51">
        <f t="shared" si="71"/>
        <v>1095428.8</v>
      </c>
      <c r="G240" s="125">
        <f t="shared" si="71"/>
        <v>2875</v>
      </c>
      <c r="H240" s="166">
        <f t="shared" si="71"/>
        <v>2700061.9</v>
      </c>
      <c r="I240" s="7">
        <f t="shared" si="71"/>
        <v>1098194.8</v>
      </c>
      <c r="J240" s="7">
        <f t="shared" si="71"/>
        <v>0</v>
      </c>
      <c r="K240" s="52">
        <f t="shared" si="71"/>
        <v>3798256.6999999997</v>
      </c>
      <c r="L240" s="51">
        <f t="shared" si="71"/>
        <v>0</v>
      </c>
      <c r="M240" s="7">
        <f t="shared" si="71"/>
        <v>0</v>
      </c>
      <c r="N240" s="52">
        <f t="shared" si="71"/>
        <v>3721040.7</v>
      </c>
    </row>
    <row r="241" spans="1:14" ht="12.75">
      <c r="A241" s="82" t="s">
        <v>77</v>
      </c>
      <c r="B241" s="61">
        <f>SUM(B243:B274)</f>
        <v>338057.8</v>
      </c>
      <c r="C241" s="13">
        <f aca="true" t="shared" si="72" ref="C241:N241">SUM(C243:C274)</f>
        <v>1162090.1999999997</v>
      </c>
      <c r="D241" s="13">
        <f t="shared" si="72"/>
        <v>1490.8999999999996</v>
      </c>
      <c r="E241" s="62">
        <f t="shared" si="72"/>
        <v>1501638.9</v>
      </c>
      <c r="F241" s="61">
        <f t="shared" si="72"/>
        <v>1092496.8</v>
      </c>
      <c r="G241" s="127">
        <f t="shared" si="72"/>
        <v>1555.0000000000002</v>
      </c>
      <c r="H241" s="168">
        <f t="shared" si="72"/>
        <v>2595690.6999999997</v>
      </c>
      <c r="I241" s="13">
        <f t="shared" si="72"/>
        <v>1092070.6</v>
      </c>
      <c r="J241" s="13">
        <f t="shared" si="72"/>
        <v>0</v>
      </c>
      <c r="K241" s="62">
        <f t="shared" si="72"/>
        <v>3687761.3</v>
      </c>
      <c r="L241" s="61">
        <f t="shared" si="72"/>
        <v>0</v>
      </c>
      <c r="M241" s="13">
        <f t="shared" si="72"/>
        <v>0</v>
      </c>
      <c r="N241" s="62">
        <f t="shared" si="72"/>
        <v>3619601.5</v>
      </c>
    </row>
    <row r="242" spans="1:14" ht="12.75">
      <c r="A242" s="74" t="s">
        <v>47</v>
      </c>
      <c r="B242" s="53"/>
      <c r="C242" s="8"/>
      <c r="D242" s="8"/>
      <c r="E242" s="54"/>
      <c r="F242" s="53"/>
      <c r="G242" s="106"/>
      <c r="H242" s="15"/>
      <c r="I242" s="8"/>
      <c r="J242" s="8"/>
      <c r="K242" s="54"/>
      <c r="L242" s="53"/>
      <c r="M242" s="8"/>
      <c r="N242" s="54"/>
    </row>
    <row r="243" spans="1:14" ht="12.75">
      <c r="A243" s="80" t="s">
        <v>110</v>
      </c>
      <c r="B243" s="53">
        <v>317845</v>
      </c>
      <c r="C243" s="8">
        <v>1304.4</v>
      </c>
      <c r="D243" s="8">
        <v>4131.9</v>
      </c>
      <c r="E243" s="54">
        <f>B243+C243+D243</f>
        <v>323281.30000000005</v>
      </c>
      <c r="F243" s="53"/>
      <c r="G243" s="106">
        <v>1145.3</v>
      </c>
      <c r="H243" s="15">
        <f>E243+F243+G243</f>
        <v>324426.60000000003</v>
      </c>
      <c r="I243" s="8">
        <v>26</v>
      </c>
      <c r="J243" s="8"/>
      <c r="K243" s="54">
        <f>H243+I243+J243</f>
        <v>324452.60000000003</v>
      </c>
      <c r="L243" s="53"/>
      <c r="M243" s="8"/>
      <c r="N243" s="54">
        <f>K243+L243+M243</f>
        <v>324452.60000000003</v>
      </c>
    </row>
    <row r="244" spans="1:14" ht="12.75">
      <c r="A244" s="80" t="s">
        <v>138</v>
      </c>
      <c r="B244" s="53"/>
      <c r="C244" s="8"/>
      <c r="D244" s="8"/>
      <c r="E244" s="54"/>
      <c r="F244" s="53"/>
      <c r="G244" s="106"/>
      <c r="H244" s="15"/>
      <c r="I244" s="8"/>
      <c r="J244" s="8"/>
      <c r="K244" s="54"/>
      <c r="L244" s="53"/>
      <c r="M244" s="8"/>
      <c r="N244" s="54"/>
    </row>
    <row r="245" spans="1:14" ht="12.75">
      <c r="A245" s="80" t="s">
        <v>139</v>
      </c>
      <c r="B245" s="53"/>
      <c r="C245" s="8">
        <v>419644</v>
      </c>
      <c r="D245" s="8"/>
      <c r="E245" s="54">
        <f aca="true" t="shared" si="73" ref="E245:E274">B245+C245+D245</f>
        <v>419644</v>
      </c>
      <c r="F245" s="53">
        <v>390625</v>
      </c>
      <c r="G245" s="106"/>
      <c r="H245" s="15">
        <f aca="true" t="shared" si="74" ref="H245:H274">E245+F245+G245</f>
        <v>810269</v>
      </c>
      <c r="I245" s="8">
        <v>403832.4</v>
      </c>
      <c r="J245" s="8"/>
      <c r="K245" s="54">
        <f aca="true" t="shared" si="75" ref="K245:K274">H245+I245+J245</f>
        <v>1214101.4</v>
      </c>
      <c r="L245" s="53"/>
      <c r="M245" s="8"/>
      <c r="N245" s="54">
        <f aca="true" t="shared" si="76" ref="N245:N274">K245+L245+M245</f>
        <v>1214101.4</v>
      </c>
    </row>
    <row r="246" spans="1:14" ht="12.75">
      <c r="A246" s="80" t="s">
        <v>140</v>
      </c>
      <c r="B246" s="53"/>
      <c r="C246" s="8">
        <v>54600</v>
      </c>
      <c r="D246" s="8"/>
      <c r="E246" s="54">
        <f t="shared" si="73"/>
        <v>54600</v>
      </c>
      <c r="F246" s="53">
        <v>50721</v>
      </c>
      <c r="G246" s="106"/>
      <c r="H246" s="15">
        <f t="shared" si="74"/>
        <v>105321</v>
      </c>
      <c r="I246" s="8">
        <v>51840</v>
      </c>
      <c r="J246" s="8"/>
      <c r="K246" s="54">
        <f t="shared" si="75"/>
        <v>157161</v>
      </c>
      <c r="L246" s="53"/>
      <c r="M246" s="8"/>
      <c r="N246" s="54">
        <f t="shared" si="76"/>
        <v>157161</v>
      </c>
    </row>
    <row r="247" spans="1:14" ht="12.75">
      <c r="A247" s="80" t="s">
        <v>141</v>
      </c>
      <c r="B247" s="53"/>
      <c r="C247" s="10">
        <v>643670</v>
      </c>
      <c r="D247" s="8"/>
      <c r="E247" s="54">
        <f t="shared" si="73"/>
        <v>643670</v>
      </c>
      <c r="F247" s="53">
        <v>616953</v>
      </c>
      <c r="G247" s="106"/>
      <c r="H247" s="15">
        <f t="shared" si="74"/>
        <v>1260623</v>
      </c>
      <c r="I247" s="8">
        <v>631614.6</v>
      </c>
      <c r="J247" s="8"/>
      <c r="K247" s="54">
        <f t="shared" si="75"/>
        <v>1892237.6</v>
      </c>
      <c r="L247" s="53"/>
      <c r="M247" s="8"/>
      <c r="N247" s="54">
        <f t="shared" si="76"/>
        <v>1892237.6</v>
      </c>
    </row>
    <row r="248" spans="1:14" ht="12.75" hidden="1">
      <c r="A248" s="80" t="s">
        <v>142</v>
      </c>
      <c r="B248" s="53"/>
      <c r="C248" s="8"/>
      <c r="D248" s="8"/>
      <c r="E248" s="54">
        <f t="shared" si="73"/>
        <v>0</v>
      </c>
      <c r="F248" s="53"/>
      <c r="G248" s="106"/>
      <c r="H248" s="15">
        <f t="shared" si="74"/>
        <v>0</v>
      </c>
      <c r="I248" s="8"/>
      <c r="J248" s="8"/>
      <c r="K248" s="54">
        <f t="shared" si="75"/>
        <v>0</v>
      </c>
      <c r="L248" s="53"/>
      <c r="M248" s="8"/>
      <c r="N248" s="54">
        <f t="shared" si="76"/>
        <v>0</v>
      </c>
    </row>
    <row r="249" spans="1:14" ht="12.75">
      <c r="A249" s="80" t="s">
        <v>143</v>
      </c>
      <c r="B249" s="53"/>
      <c r="C249" s="8"/>
      <c r="D249" s="8"/>
      <c r="E249" s="54">
        <f t="shared" si="73"/>
        <v>0</v>
      </c>
      <c r="F249" s="53"/>
      <c r="G249" s="106"/>
      <c r="H249" s="15">
        <f t="shared" si="74"/>
        <v>0</v>
      </c>
      <c r="I249" s="8">
        <v>796.7</v>
      </c>
      <c r="J249" s="8"/>
      <c r="K249" s="54">
        <f t="shared" si="75"/>
        <v>796.7</v>
      </c>
      <c r="L249" s="53"/>
      <c r="M249" s="8"/>
      <c r="N249" s="54">
        <f t="shared" si="76"/>
        <v>796.7</v>
      </c>
    </row>
    <row r="250" spans="1:14" ht="12.75" hidden="1">
      <c r="A250" s="80" t="s">
        <v>144</v>
      </c>
      <c r="B250" s="53"/>
      <c r="C250" s="8"/>
      <c r="D250" s="8"/>
      <c r="E250" s="54">
        <f t="shared" si="73"/>
        <v>0</v>
      </c>
      <c r="F250" s="53"/>
      <c r="G250" s="106"/>
      <c r="H250" s="15">
        <f t="shared" si="74"/>
        <v>0</v>
      </c>
      <c r="I250" s="8"/>
      <c r="J250" s="8"/>
      <c r="K250" s="54">
        <f t="shared" si="75"/>
        <v>0</v>
      </c>
      <c r="L250" s="53"/>
      <c r="M250" s="8"/>
      <c r="N250" s="54">
        <f t="shared" si="76"/>
        <v>0</v>
      </c>
    </row>
    <row r="251" spans="1:14" ht="12.75" hidden="1">
      <c r="A251" s="80" t="s">
        <v>145</v>
      </c>
      <c r="B251" s="53"/>
      <c r="C251" s="8"/>
      <c r="D251" s="8"/>
      <c r="E251" s="54">
        <f t="shared" si="73"/>
        <v>0</v>
      </c>
      <c r="F251" s="53"/>
      <c r="G251" s="106"/>
      <c r="H251" s="15">
        <f t="shared" si="74"/>
        <v>0</v>
      </c>
      <c r="I251" s="8"/>
      <c r="J251" s="8"/>
      <c r="K251" s="54">
        <f t="shared" si="75"/>
        <v>0</v>
      </c>
      <c r="L251" s="53"/>
      <c r="M251" s="8"/>
      <c r="N251" s="54">
        <f t="shared" si="76"/>
        <v>0</v>
      </c>
    </row>
    <row r="252" spans="1:14" ht="12.75" hidden="1">
      <c r="A252" s="80" t="s">
        <v>146</v>
      </c>
      <c r="B252" s="53"/>
      <c r="C252" s="8"/>
      <c r="D252" s="8"/>
      <c r="E252" s="54">
        <f t="shared" si="73"/>
        <v>0</v>
      </c>
      <c r="F252" s="53"/>
      <c r="G252" s="106"/>
      <c r="H252" s="15">
        <f t="shared" si="74"/>
        <v>0</v>
      </c>
      <c r="I252" s="8"/>
      <c r="J252" s="8"/>
      <c r="K252" s="54">
        <f t="shared" si="75"/>
        <v>0</v>
      </c>
      <c r="L252" s="53"/>
      <c r="M252" s="8"/>
      <c r="N252" s="54">
        <f t="shared" si="76"/>
        <v>0</v>
      </c>
    </row>
    <row r="253" spans="1:14" ht="12.75" hidden="1">
      <c r="A253" s="80" t="s">
        <v>242</v>
      </c>
      <c r="B253" s="53"/>
      <c r="C253" s="8"/>
      <c r="D253" s="8"/>
      <c r="E253" s="54">
        <f t="shared" si="73"/>
        <v>0</v>
      </c>
      <c r="F253" s="53"/>
      <c r="G253" s="106"/>
      <c r="H253" s="15">
        <f t="shared" si="74"/>
        <v>0</v>
      </c>
      <c r="I253" s="8"/>
      <c r="J253" s="8"/>
      <c r="K253" s="54">
        <f t="shared" si="75"/>
        <v>0</v>
      </c>
      <c r="L253" s="53"/>
      <c r="M253" s="8"/>
      <c r="N253" s="54">
        <f t="shared" si="76"/>
        <v>0</v>
      </c>
    </row>
    <row r="254" spans="1:14" ht="12.75" hidden="1">
      <c r="A254" s="80" t="s">
        <v>147</v>
      </c>
      <c r="B254" s="53"/>
      <c r="C254" s="8"/>
      <c r="D254" s="8"/>
      <c r="E254" s="54">
        <f t="shared" si="73"/>
        <v>0</v>
      </c>
      <c r="F254" s="53"/>
      <c r="G254" s="106"/>
      <c r="H254" s="15">
        <f t="shared" si="74"/>
        <v>0</v>
      </c>
      <c r="I254" s="8"/>
      <c r="J254" s="8"/>
      <c r="K254" s="54">
        <f t="shared" si="75"/>
        <v>0</v>
      </c>
      <c r="L254" s="53"/>
      <c r="M254" s="8"/>
      <c r="N254" s="54">
        <f t="shared" si="76"/>
        <v>0</v>
      </c>
    </row>
    <row r="255" spans="1:14" ht="12.75">
      <c r="A255" s="100" t="s">
        <v>263</v>
      </c>
      <c r="B255" s="53"/>
      <c r="C255" s="8"/>
      <c r="D255" s="8"/>
      <c r="E255" s="54">
        <f t="shared" si="73"/>
        <v>0</v>
      </c>
      <c r="F255" s="53">
        <v>4351</v>
      </c>
      <c r="G255" s="106"/>
      <c r="H255" s="15">
        <f t="shared" si="74"/>
        <v>4351</v>
      </c>
      <c r="I255" s="8"/>
      <c r="J255" s="8"/>
      <c r="K255" s="54">
        <f t="shared" si="75"/>
        <v>4351</v>
      </c>
      <c r="L255" s="53"/>
      <c r="M255" s="8"/>
      <c r="N255" s="54"/>
    </row>
    <row r="256" spans="1:14" ht="12.75">
      <c r="A256" s="80" t="s">
        <v>148</v>
      </c>
      <c r="B256" s="53"/>
      <c r="C256" s="8"/>
      <c r="D256" s="8"/>
      <c r="E256" s="54">
        <f t="shared" si="73"/>
        <v>0</v>
      </c>
      <c r="F256" s="53">
        <f>4083.9+3089.1</f>
        <v>7173</v>
      </c>
      <c r="G256" s="106"/>
      <c r="H256" s="15">
        <f t="shared" si="74"/>
        <v>7173</v>
      </c>
      <c r="I256" s="8"/>
      <c r="J256" s="8"/>
      <c r="K256" s="54">
        <f t="shared" si="75"/>
        <v>7173</v>
      </c>
      <c r="L256" s="53"/>
      <c r="M256" s="8"/>
      <c r="N256" s="54">
        <f t="shared" si="76"/>
        <v>7173</v>
      </c>
    </row>
    <row r="257" spans="1:14" ht="12.75">
      <c r="A257" s="80" t="s">
        <v>279</v>
      </c>
      <c r="B257" s="53"/>
      <c r="C257" s="8"/>
      <c r="D257" s="8"/>
      <c r="E257" s="54"/>
      <c r="F257" s="53"/>
      <c r="G257" s="106"/>
      <c r="H257" s="15">
        <f t="shared" si="74"/>
        <v>0</v>
      </c>
      <c r="I257" s="8">
        <v>1851</v>
      </c>
      <c r="J257" s="8"/>
      <c r="K257" s="54">
        <f t="shared" si="75"/>
        <v>1851</v>
      </c>
      <c r="L257" s="53"/>
      <c r="M257" s="8"/>
      <c r="N257" s="54"/>
    </row>
    <row r="258" spans="1:14" ht="12.75">
      <c r="A258" s="80" t="s">
        <v>149</v>
      </c>
      <c r="B258" s="53"/>
      <c r="C258" s="8"/>
      <c r="D258" s="8"/>
      <c r="E258" s="54">
        <f t="shared" si="73"/>
        <v>0</v>
      </c>
      <c r="F258" s="53"/>
      <c r="G258" s="106"/>
      <c r="H258" s="15">
        <f t="shared" si="74"/>
        <v>0</v>
      </c>
      <c r="I258" s="8">
        <v>1779.3</v>
      </c>
      <c r="J258" s="8"/>
      <c r="K258" s="54">
        <f t="shared" si="75"/>
        <v>1779.3</v>
      </c>
      <c r="L258" s="53"/>
      <c r="M258" s="8"/>
      <c r="N258" s="54">
        <f t="shared" si="76"/>
        <v>1779.3</v>
      </c>
    </row>
    <row r="259" spans="1:14" ht="12.75">
      <c r="A259" s="80" t="s">
        <v>150</v>
      </c>
      <c r="B259" s="53"/>
      <c r="C259" s="8"/>
      <c r="D259" s="8"/>
      <c r="E259" s="54">
        <f t="shared" si="73"/>
        <v>0</v>
      </c>
      <c r="F259" s="53">
        <v>285.5</v>
      </c>
      <c r="G259" s="106"/>
      <c r="H259" s="15">
        <f t="shared" si="74"/>
        <v>285.5</v>
      </c>
      <c r="I259" s="8"/>
      <c r="J259" s="8"/>
      <c r="K259" s="54">
        <f t="shared" si="75"/>
        <v>285.5</v>
      </c>
      <c r="L259" s="53"/>
      <c r="M259" s="8"/>
      <c r="N259" s="54">
        <f t="shared" si="76"/>
        <v>285.5</v>
      </c>
    </row>
    <row r="260" spans="1:14" ht="12.75" hidden="1">
      <c r="A260" s="80" t="s">
        <v>151</v>
      </c>
      <c r="B260" s="53"/>
      <c r="C260" s="8"/>
      <c r="D260" s="8"/>
      <c r="E260" s="54">
        <f t="shared" si="73"/>
        <v>0</v>
      </c>
      <c r="F260" s="53"/>
      <c r="G260" s="106"/>
      <c r="H260" s="15">
        <f t="shared" si="74"/>
        <v>0</v>
      </c>
      <c r="I260" s="8"/>
      <c r="J260" s="8"/>
      <c r="K260" s="54">
        <f t="shared" si="75"/>
        <v>0</v>
      </c>
      <c r="L260" s="53"/>
      <c r="M260" s="8"/>
      <c r="N260" s="54">
        <f t="shared" si="76"/>
        <v>0</v>
      </c>
    </row>
    <row r="261" spans="1:14" ht="12.75" hidden="1">
      <c r="A261" s="80" t="s">
        <v>216</v>
      </c>
      <c r="B261" s="53"/>
      <c r="C261" s="8"/>
      <c r="D261" s="8"/>
      <c r="E261" s="54">
        <f t="shared" si="73"/>
        <v>0</v>
      </c>
      <c r="F261" s="53"/>
      <c r="G261" s="106"/>
      <c r="H261" s="15">
        <f t="shared" si="74"/>
        <v>0</v>
      </c>
      <c r="I261" s="8"/>
      <c r="J261" s="8"/>
      <c r="K261" s="54">
        <f t="shared" si="75"/>
        <v>0</v>
      </c>
      <c r="L261" s="53"/>
      <c r="M261" s="8"/>
      <c r="N261" s="54"/>
    </row>
    <row r="262" spans="1:14" ht="12.75">
      <c r="A262" s="100" t="s">
        <v>215</v>
      </c>
      <c r="B262" s="53"/>
      <c r="C262" s="8">
        <v>37831</v>
      </c>
      <c r="D262" s="8"/>
      <c r="E262" s="54">
        <f t="shared" si="73"/>
        <v>37831</v>
      </c>
      <c r="F262" s="53"/>
      <c r="G262" s="106"/>
      <c r="H262" s="15">
        <f t="shared" si="74"/>
        <v>37831</v>
      </c>
      <c r="I262" s="8"/>
      <c r="J262" s="8"/>
      <c r="K262" s="54">
        <f t="shared" si="75"/>
        <v>37831</v>
      </c>
      <c r="L262" s="53"/>
      <c r="M262" s="8"/>
      <c r="N262" s="54"/>
    </row>
    <row r="263" spans="1:14" ht="12.75" hidden="1">
      <c r="A263" s="80" t="s">
        <v>152</v>
      </c>
      <c r="B263" s="53"/>
      <c r="C263" s="8"/>
      <c r="D263" s="8"/>
      <c r="E263" s="54">
        <f t="shared" si="73"/>
        <v>0</v>
      </c>
      <c r="F263" s="53"/>
      <c r="G263" s="106"/>
      <c r="H263" s="15">
        <f t="shared" si="74"/>
        <v>0</v>
      </c>
      <c r="I263" s="8"/>
      <c r="J263" s="8"/>
      <c r="K263" s="54">
        <f t="shared" si="75"/>
        <v>0</v>
      </c>
      <c r="L263" s="53"/>
      <c r="M263" s="8"/>
      <c r="N263" s="54">
        <f t="shared" si="76"/>
        <v>0</v>
      </c>
    </row>
    <row r="264" spans="1:14" ht="12.75" hidden="1">
      <c r="A264" s="80" t="s">
        <v>153</v>
      </c>
      <c r="B264" s="53"/>
      <c r="C264" s="8"/>
      <c r="D264" s="8"/>
      <c r="E264" s="54">
        <f t="shared" si="73"/>
        <v>0</v>
      </c>
      <c r="F264" s="53"/>
      <c r="G264" s="106"/>
      <c r="H264" s="15">
        <f t="shared" si="74"/>
        <v>0</v>
      </c>
      <c r="I264" s="8"/>
      <c r="J264" s="8"/>
      <c r="K264" s="54">
        <f t="shared" si="75"/>
        <v>0</v>
      </c>
      <c r="L264" s="53"/>
      <c r="M264" s="8"/>
      <c r="N264" s="54">
        <f t="shared" si="76"/>
        <v>0</v>
      </c>
    </row>
    <row r="265" spans="1:14" ht="12.75">
      <c r="A265" s="80" t="s">
        <v>236</v>
      </c>
      <c r="B265" s="53"/>
      <c r="C265" s="8">
        <v>457.9</v>
      </c>
      <c r="D265" s="8"/>
      <c r="E265" s="54">
        <f t="shared" si="73"/>
        <v>457.9</v>
      </c>
      <c r="F265" s="53"/>
      <c r="G265" s="106"/>
      <c r="H265" s="15">
        <f t="shared" si="74"/>
        <v>457.9</v>
      </c>
      <c r="I265" s="8">
        <v>203.1</v>
      </c>
      <c r="J265" s="8"/>
      <c r="K265" s="54">
        <f t="shared" si="75"/>
        <v>661</v>
      </c>
      <c r="L265" s="53"/>
      <c r="M265" s="8"/>
      <c r="N265" s="54"/>
    </row>
    <row r="266" spans="1:14" ht="12.75">
      <c r="A266" s="78" t="s">
        <v>255</v>
      </c>
      <c r="B266" s="53"/>
      <c r="C266" s="8"/>
      <c r="D266" s="8"/>
      <c r="E266" s="54">
        <f t="shared" si="73"/>
        <v>0</v>
      </c>
      <c r="F266" s="53">
        <v>3379.8</v>
      </c>
      <c r="G266" s="106"/>
      <c r="H266" s="15">
        <f t="shared" si="74"/>
        <v>3379.8</v>
      </c>
      <c r="I266" s="8"/>
      <c r="J266" s="8"/>
      <c r="K266" s="54">
        <f t="shared" si="75"/>
        <v>3379.8</v>
      </c>
      <c r="L266" s="53"/>
      <c r="M266" s="8"/>
      <c r="N266" s="54"/>
    </row>
    <row r="267" spans="1:14" ht="12.75">
      <c r="A267" s="78" t="s">
        <v>257</v>
      </c>
      <c r="B267" s="53"/>
      <c r="C267" s="8"/>
      <c r="D267" s="8"/>
      <c r="E267" s="54">
        <f t="shared" si="73"/>
        <v>0</v>
      </c>
      <c r="F267" s="53">
        <v>9879.2</v>
      </c>
      <c r="G267" s="106"/>
      <c r="H267" s="15">
        <f t="shared" si="74"/>
        <v>9879.2</v>
      </c>
      <c r="I267" s="8"/>
      <c r="J267" s="8"/>
      <c r="K267" s="54">
        <f t="shared" si="75"/>
        <v>9879.2</v>
      </c>
      <c r="L267" s="53"/>
      <c r="M267" s="8"/>
      <c r="N267" s="54"/>
    </row>
    <row r="268" spans="1:14" ht="12.75">
      <c r="A268" s="100" t="s">
        <v>258</v>
      </c>
      <c r="B268" s="53"/>
      <c r="C268" s="8"/>
      <c r="D268" s="8"/>
      <c r="E268" s="54">
        <f t="shared" si="73"/>
        <v>0</v>
      </c>
      <c r="F268" s="53">
        <v>8665.8</v>
      </c>
      <c r="G268" s="106"/>
      <c r="H268" s="15">
        <f t="shared" si="74"/>
        <v>8665.8</v>
      </c>
      <c r="I268" s="8"/>
      <c r="J268" s="8"/>
      <c r="K268" s="54">
        <f t="shared" si="75"/>
        <v>8665.8</v>
      </c>
      <c r="L268" s="53"/>
      <c r="M268" s="8"/>
      <c r="N268" s="54"/>
    </row>
    <row r="269" spans="1:14" ht="12.75">
      <c r="A269" s="80" t="s">
        <v>256</v>
      </c>
      <c r="B269" s="53"/>
      <c r="C269" s="8"/>
      <c r="D269" s="8"/>
      <c r="E269" s="54">
        <f t="shared" si="73"/>
        <v>0</v>
      </c>
      <c r="F269" s="53">
        <f>37.6+425.9</f>
        <v>463.5</v>
      </c>
      <c r="G269" s="106"/>
      <c r="H269" s="15">
        <f t="shared" si="74"/>
        <v>463.5</v>
      </c>
      <c r="I269" s="8">
        <f>16.2+111.3</f>
        <v>127.5</v>
      </c>
      <c r="J269" s="8"/>
      <c r="K269" s="54">
        <f t="shared" si="75"/>
        <v>591</v>
      </c>
      <c r="L269" s="53"/>
      <c r="M269" s="8"/>
      <c r="N269" s="54"/>
    </row>
    <row r="270" spans="1:14" ht="12.75" hidden="1">
      <c r="A270" s="80" t="s">
        <v>154</v>
      </c>
      <c r="B270" s="53"/>
      <c r="C270" s="8"/>
      <c r="D270" s="8"/>
      <c r="E270" s="54">
        <f t="shared" si="73"/>
        <v>0</v>
      </c>
      <c r="F270" s="53"/>
      <c r="G270" s="106"/>
      <c r="H270" s="15">
        <f t="shared" si="74"/>
        <v>0</v>
      </c>
      <c r="I270" s="8"/>
      <c r="J270" s="8"/>
      <c r="K270" s="54">
        <f t="shared" si="75"/>
        <v>0</v>
      </c>
      <c r="L270" s="53"/>
      <c r="M270" s="8"/>
      <c r="N270" s="54">
        <f t="shared" si="76"/>
        <v>0</v>
      </c>
    </row>
    <row r="271" spans="1:14" ht="12.75" hidden="1">
      <c r="A271" s="80" t="s">
        <v>99</v>
      </c>
      <c r="B271" s="53"/>
      <c r="C271" s="8"/>
      <c r="D271" s="8"/>
      <c r="E271" s="54">
        <f t="shared" si="73"/>
        <v>0</v>
      </c>
      <c r="F271" s="53"/>
      <c r="G271" s="106"/>
      <c r="H271" s="15">
        <f t="shared" si="74"/>
        <v>0</v>
      </c>
      <c r="I271" s="8"/>
      <c r="J271" s="8"/>
      <c r="K271" s="54">
        <f t="shared" si="75"/>
        <v>0</v>
      </c>
      <c r="L271" s="53"/>
      <c r="M271" s="8"/>
      <c r="N271" s="54">
        <f t="shared" si="76"/>
        <v>0</v>
      </c>
    </row>
    <row r="272" spans="1:14" ht="12.75">
      <c r="A272" s="80" t="s">
        <v>96</v>
      </c>
      <c r="B272" s="53"/>
      <c r="C272" s="8"/>
      <c r="D272" s="8"/>
      <c r="E272" s="54">
        <f t="shared" si="73"/>
        <v>0</v>
      </c>
      <c r="F272" s="53"/>
      <c r="G272" s="106">
        <v>950</v>
      </c>
      <c r="H272" s="15">
        <f t="shared" si="74"/>
        <v>950</v>
      </c>
      <c r="I272" s="8"/>
      <c r="J272" s="8"/>
      <c r="K272" s="54">
        <f t="shared" si="75"/>
        <v>950</v>
      </c>
      <c r="L272" s="53"/>
      <c r="M272" s="8"/>
      <c r="N272" s="54"/>
    </row>
    <row r="273" spans="1:14" ht="12.75">
      <c r="A273" s="80" t="s">
        <v>113</v>
      </c>
      <c r="B273" s="53"/>
      <c r="C273" s="8">
        <f>4393+199.9</f>
        <v>4592.9</v>
      </c>
      <c r="D273" s="8"/>
      <c r="E273" s="54">
        <f t="shared" si="73"/>
        <v>4592.9</v>
      </c>
      <c r="F273" s="53"/>
      <c r="G273" s="106"/>
      <c r="H273" s="15">
        <f t="shared" si="74"/>
        <v>4592.9</v>
      </c>
      <c r="I273" s="8"/>
      <c r="J273" s="8"/>
      <c r="K273" s="54">
        <f t="shared" si="75"/>
        <v>4592.9</v>
      </c>
      <c r="L273" s="53"/>
      <c r="M273" s="8"/>
      <c r="N273" s="54">
        <f t="shared" si="76"/>
        <v>4592.9</v>
      </c>
    </row>
    <row r="274" spans="1:14" ht="12.75">
      <c r="A274" s="80" t="s">
        <v>80</v>
      </c>
      <c r="B274" s="53">
        <v>20212.8</v>
      </c>
      <c r="C274" s="8">
        <f>-10</f>
        <v>-10</v>
      </c>
      <c r="D274" s="8">
        <v>-2641</v>
      </c>
      <c r="E274" s="54">
        <f t="shared" si="73"/>
        <v>17561.8</v>
      </c>
      <c r="F274" s="53"/>
      <c r="G274" s="106">
        <f>-1365.8+580+245.5</f>
        <v>-540.3</v>
      </c>
      <c r="H274" s="15">
        <f t="shared" si="74"/>
        <v>17021.5</v>
      </c>
      <c r="I274" s="8"/>
      <c r="J274" s="8"/>
      <c r="K274" s="54">
        <f t="shared" si="75"/>
        <v>17021.5</v>
      </c>
      <c r="L274" s="53"/>
      <c r="M274" s="8"/>
      <c r="N274" s="54">
        <f t="shared" si="76"/>
        <v>17021.5</v>
      </c>
    </row>
    <row r="275" spans="1:14" ht="12.75">
      <c r="A275" s="83" t="s">
        <v>83</v>
      </c>
      <c r="B275" s="63">
        <f aca="true" t="shared" si="77" ref="B275:N275">SUM(B277:B283)</f>
        <v>0</v>
      </c>
      <c r="C275" s="14">
        <f t="shared" si="77"/>
        <v>57989.8</v>
      </c>
      <c r="D275" s="14">
        <f t="shared" si="77"/>
        <v>42129.4</v>
      </c>
      <c r="E275" s="64">
        <f t="shared" si="77"/>
        <v>100119.20000000001</v>
      </c>
      <c r="F275" s="63">
        <f t="shared" si="77"/>
        <v>2932</v>
      </c>
      <c r="G275" s="128">
        <f t="shared" si="77"/>
        <v>1320</v>
      </c>
      <c r="H275" s="147">
        <f t="shared" si="77"/>
        <v>104371.20000000001</v>
      </c>
      <c r="I275" s="14">
        <f t="shared" si="77"/>
        <v>6124.2</v>
      </c>
      <c r="J275" s="14">
        <f t="shared" si="77"/>
        <v>0</v>
      </c>
      <c r="K275" s="64">
        <f t="shared" si="77"/>
        <v>110495.40000000001</v>
      </c>
      <c r="L275" s="63">
        <f t="shared" si="77"/>
        <v>0</v>
      </c>
      <c r="M275" s="14">
        <f t="shared" si="77"/>
        <v>0</v>
      </c>
      <c r="N275" s="64">
        <f t="shared" si="77"/>
        <v>101439.20000000001</v>
      </c>
    </row>
    <row r="276" spans="1:14" ht="12.75">
      <c r="A276" s="78" t="s">
        <v>47</v>
      </c>
      <c r="B276" s="53"/>
      <c r="C276" s="8"/>
      <c r="D276" s="8"/>
      <c r="E276" s="54"/>
      <c r="F276" s="53"/>
      <c r="G276" s="106"/>
      <c r="H276" s="166"/>
      <c r="I276" s="8"/>
      <c r="J276" s="8"/>
      <c r="K276" s="52"/>
      <c r="L276" s="53"/>
      <c r="M276" s="8"/>
      <c r="N276" s="52"/>
    </row>
    <row r="277" spans="1:14" ht="12.75">
      <c r="A277" s="80" t="s">
        <v>155</v>
      </c>
      <c r="B277" s="53"/>
      <c r="C277" s="8"/>
      <c r="D277" s="8"/>
      <c r="E277" s="54">
        <f aca="true" t="shared" si="78" ref="E277:E283">B277+C277+D277</f>
        <v>0</v>
      </c>
      <c r="F277" s="53"/>
      <c r="G277" s="106">
        <v>320</v>
      </c>
      <c r="H277" s="15">
        <f aca="true" t="shared" si="79" ref="H277:H283">E277+F277+G277</f>
        <v>320</v>
      </c>
      <c r="I277" s="8"/>
      <c r="J277" s="8"/>
      <c r="K277" s="54">
        <f aca="true" t="shared" si="80" ref="K277:K283">H277+I277+J277</f>
        <v>320</v>
      </c>
      <c r="L277" s="53"/>
      <c r="M277" s="8"/>
      <c r="N277" s="54">
        <f>K277+L277+M277</f>
        <v>320</v>
      </c>
    </row>
    <row r="278" spans="1:14" ht="12.75" hidden="1">
      <c r="A278" s="80" t="s">
        <v>156</v>
      </c>
      <c r="B278" s="53"/>
      <c r="C278" s="8"/>
      <c r="D278" s="8"/>
      <c r="E278" s="54">
        <f t="shared" si="78"/>
        <v>0</v>
      </c>
      <c r="F278" s="53"/>
      <c r="G278" s="106"/>
      <c r="H278" s="15">
        <f t="shared" si="79"/>
        <v>0</v>
      </c>
      <c r="I278" s="8"/>
      <c r="J278" s="8"/>
      <c r="K278" s="54">
        <f t="shared" si="80"/>
        <v>0</v>
      </c>
      <c r="L278" s="53"/>
      <c r="M278" s="8"/>
      <c r="N278" s="54">
        <f>K278+L278+M278</f>
        <v>0</v>
      </c>
    </row>
    <row r="279" spans="1:14" ht="12.75">
      <c r="A279" s="80" t="s">
        <v>84</v>
      </c>
      <c r="B279" s="53"/>
      <c r="C279" s="8"/>
      <c r="D279" s="8"/>
      <c r="E279" s="54">
        <f t="shared" si="78"/>
        <v>0</v>
      </c>
      <c r="F279" s="53"/>
      <c r="G279" s="106">
        <v>1000</v>
      </c>
      <c r="H279" s="15">
        <f t="shared" si="79"/>
        <v>1000</v>
      </c>
      <c r="I279" s="8"/>
      <c r="J279" s="10"/>
      <c r="K279" s="54">
        <f t="shared" si="80"/>
        <v>1000</v>
      </c>
      <c r="L279" s="53"/>
      <c r="M279" s="8"/>
      <c r="N279" s="54">
        <f>K279+L279+M279</f>
        <v>1000</v>
      </c>
    </row>
    <row r="280" spans="1:14" ht="12.75">
      <c r="A280" s="80" t="s">
        <v>113</v>
      </c>
      <c r="B280" s="53"/>
      <c r="C280" s="8">
        <v>57989.8</v>
      </c>
      <c r="D280" s="8">
        <v>42129.4</v>
      </c>
      <c r="E280" s="54">
        <f t="shared" si="78"/>
        <v>100119.20000000001</v>
      </c>
      <c r="F280" s="53"/>
      <c r="G280" s="106"/>
      <c r="H280" s="15">
        <f t="shared" si="79"/>
        <v>100119.20000000001</v>
      </c>
      <c r="I280" s="8"/>
      <c r="J280" s="10"/>
      <c r="K280" s="54">
        <f t="shared" si="80"/>
        <v>100119.20000000001</v>
      </c>
      <c r="L280" s="53"/>
      <c r="M280" s="8"/>
      <c r="N280" s="54">
        <f>K280+L280+M280</f>
        <v>100119.20000000001</v>
      </c>
    </row>
    <row r="281" spans="1:14" ht="12.75">
      <c r="A281" s="80" t="s">
        <v>256</v>
      </c>
      <c r="B281" s="53"/>
      <c r="C281" s="8"/>
      <c r="D281" s="8"/>
      <c r="E281" s="54"/>
      <c r="F281" s="53"/>
      <c r="G281" s="106"/>
      <c r="H281" s="15">
        <f t="shared" si="79"/>
        <v>0</v>
      </c>
      <c r="I281" s="8">
        <f>1106.2+5018</f>
        <v>6124.2</v>
      </c>
      <c r="J281" s="10"/>
      <c r="K281" s="54">
        <f t="shared" si="80"/>
        <v>6124.2</v>
      </c>
      <c r="L281" s="53"/>
      <c r="M281" s="8"/>
      <c r="N281" s="54"/>
    </row>
    <row r="282" spans="1:14" ht="12.75">
      <c r="A282" s="78" t="s">
        <v>255</v>
      </c>
      <c r="B282" s="53"/>
      <c r="C282" s="8"/>
      <c r="D282" s="8"/>
      <c r="E282" s="54">
        <f t="shared" si="78"/>
        <v>0</v>
      </c>
      <c r="F282" s="53">
        <v>92</v>
      </c>
      <c r="G282" s="106"/>
      <c r="H282" s="15">
        <f t="shared" si="79"/>
        <v>92</v>
      </c>
      <c r="I282" s="8"/>
      <c r="J282" s="10"/>
      <c r="K282" s="54">
        <f t="shared" si="80"/>
        <v>92</v>
      </c>
      <c r="L282" s="53"/>
      <c r="M282" s="8"/>
      <c r="N282" s="54"/>
    </row>
    <row r="283" spans="1:14" ht="12.75">
      <c r="A283" s="135" t="s">
        <v>258</v>
      </c>
      <c r="B283" s="57"/>
      <c r="C283" s="11"/>
      <c r="D283" s="11"/>
      <c r="E283" s="58">
        <f t="shared" si="78"/>
        <v>0</v>
      </c>
      <c r="F283" s="57">
        <v>2840</v>
      </c>
      <c r="G283" s="17"/>
      <c r="H283" s="169">
        <f t="shared" si="79"/>
        <v>2840</v>
      </c>
      <c r="I283" s="11"/>
      <c r="J283" s="143"/>
      <c r="K283" s="58">
        <f t="shared" si="80"/>
        <v>2840</v>
      </c>
      <c r="L283" s="53"/>
      <c r="M283" s="8"/>
      <c r="N283" s="54"/>
    </row>
    <row r="284" spans="1:14" ht="12.75">
      <c r="A284" s="73" t="s">
        <v>157</v>
      </c>
      <c r="B284" s="51">
        <f aca="true" t="shared" si="81" ref="B284:N284">B285+B295</f>
        <v>409181.9</v>
      </c>
      <c r="C284" s="7">
        <f t="shared" si="81"/>
        <v>98649.5</v>
      </c>
      <c r="D284" s="7">
        <f t="shared" si="81"/>
        <v>2361.2</v>
      </c>
      <c r="E284" s="52">
        <f t="shared" si="81"/>
        <v>510192.60000000003</v>
      </c>
      <c r="F284" s="51">
        <f t="shared" si="81"/>
        <v>47887</v>
      </c>
      <c r="G284" s="125">
        <f t="shared" si="81"/>
        <v>-15000</v>
      </c>
      <c r="H284" s="166">
        <f t="shared" si="81"/>
        <v>543079.6</v>
      </c>
      <c r="I284" s="7">
        <f t="shared" si="81"/>
        <v>20442.8</v>
      </c>
      <c r="J284" s="7">
        <f t="shared" si="81"/>
        <v>0</v>
      </c>
      <c r="K284" s="52">
        <f t="shared" si="81"/>
        <v>563522.4</v>
      </c>
      <c r="L284" s="51">
        <f t="shared" si="81"/>
        <v>0</v>
      </c>
      <c r="M284" s="7">
        <f t="shared" si="81"/>
        <v>0</v>
      </c>
      <c r="N284" s="52">
        <f t="shared" si="81"/>
        <v>444664.7</v>
      </c>
    </row>
    <row r="285" spans="1:14" ht="12.75">
      <c r="A285" s="82" t="s">
        <v>77</v>
      </c>
      <c r="B285" s="61">
        <f aca="true" t="shared" si="82" ref="B285:N285">SUM(B287:B294)</f>
        <v>406181.9</v>
      </c>
      <c r="C285" s="13">
        <f t="shared" si="82"/>
        <v>69443.8</v>
      </c>
      <c r="D285" s="13">
        <f t="shared" si="82"/>
        <v>720</v>
      </c>
      <c r="E285" s="62">
        <f t="shared" si="82"/>
        <v>476345.7</v>
      </c>
      <c r="F285" s="61">
        <f t="shared" si="82"/>
        <v>22062.3</v>
      </c>
      <c r="G285" s="127">
        <f t="shared" si="82"/>
        <v>-60000</v>
      </c>
      <c r="H285" s="168">
        <f t="shared" si="82"/>
        <v>438408</v>
      </c>
      <c r="I285" s="13">
        <f t="shared" si="82"/>
        <v>578.2</v>
      </c>
      <c r="J285" s="13">
        <f t="shared" si="82"/>
        <v>0</v>
      </c>
      <c r="K285" s="62">
        <f t="shared" si="82"/>
        <v>438986.2</v>
      </c>
      <c r="L285" s="61">
        <f t="shared" si="82"/>
        <v>0</v>
      </c>
      <c r="M285" s="13">
        <f t="shared" si="82"/>
        <v>0</v>
      </c>
      <c r="N285" s="62">
        <f t="shared" si="82"/>
        <v>438164.7</v>
      </c>
    </row>
    <row r="286" spans="1:14" ht="12.75">
      <c r="A286" s="78" t="s">
        <v>47</v>
      </c>
      <c r="B286" s="53"/>
      <c r="C286" s="8"/>
      <c r="D286" s="8"/>
      <c r="E286" s="52"/>
      <c r="F286" s="53"/>
      <c r="G286" s="106"/>
      <c r="H286" s="166"/>
      <c r="I286" s="8"/>
      <c r="J286" s="8"/>
      <c r="K286" s="52"/>
      <c r="L286" s="53"/>
      <c r="M286" s="8"/>
      <c r="N286" s="52"/>
    </row>
    <row r="287" spans="1:14" ht="12.75">
      <c r="A287" s="75" t="s">
        <v>110</v>
      </c>
      <c r="B287" s="53">
        <v>208971</v>
      </c>
      <c r="C287" s="8"/>
      <c r="D287" s="8"/>
      <c r="E287" s="54">
        <f aca="true" t="shared" si="83" ref="E287:E294">B287+C287+D287</f>
        <v>208971</v>
      </c>
      <c r="F287" s="53"/>
      <c r="G287" s="106"/>
      <c r="H287" s="15">
        <f aca="true" t="shared" si="84" ref="H287:H294">E287+F287+G287</f>
        <v>208971</v>
      </c>
      <c r="I287" s="8"/>
      <c r="J287" s="8"/>
      <c r="K287" s="54">
        <f aca="true" t="shared" si="85" ref="K287:K294">H287+I287+J287</f>
        <v>208971</v>
      </c>
      <c r="L287" s="53"/>
      <c r="M287" s="8"/>
      <c r="N287" s="54">
        <f aca="true" t="shared" si="86" ref="N287:N294">K287+L287+M287</f>
        <v>208971</v>
      </c>
    </row>
    <row r="288" spans="1:14" ht="12.75">
      <c r="A288" s="80" t="s">
        <v>94</v>
      </c>
      <c r="B288" s="53">
        <v>176250</v>
      </c>
      <c r="C288" s="8">
        <v>45000</v>
      </c>
      <c r="D288" s="8"/>
      <c r="E288" s="54">
        <f t="shared" si="83"/>
        <v>221250</v>
      </c>
      <c r="F288" s="53"/>
      <c r="G288" s="106">
        <v>-45000</v>
      </c>
      <c r="H288" s="15">
        <f t="shared" si="84"/>
        <v>176250</v>
      </c>
      <c r="I288" s="8"/>
      <c r="J288" s="8"/>
      <c r="K288" s="54">
        <f t="shared" si="85"/>
        <v>176250</v>
      </c>
      <c r="L288" s="53"/>
      <c r="M288" s="8"/>
      <c r="N288" s="54">
        <f t="shared" si="86"/>
        <v>176250</v>
      </c>
    </row>
    <row r="289" spans="1:14" ht="12.75">
      <c r="A289" s="80" t="s">
        <v>221</v>
      </c>
      <c r="B289" s="53"/>
      <c r="C289" s="8"/>
      <c r="D289" s="8">
        <v>720</v>
      </c>
      <c r="E289" s="54">
        <f t="shared" si="83"/>
        <v>720</v>
      </c>
      <c r="F289" s="53"/>
      <c r="G289" s="106"/>
      <c r="H289" s="15">
        <f t="shared" si="84"/>
        <v>720</v>
      </c>
      <c r="I289" s="8"/>
      <c r="J289" s="8"/>
      <c r="K289" s="54">
        <f t="shared" si="85"/>
        <v>720</v>
      </c>
      <c r="L289" s="53"/>
      <c r="M289" s="8"/>
      <c r="N289" s="54"/>
    </row>
    <row r="290" spans="1:14" ht="12.75">
      <c r="A290" s="80" t="s">
        <v>80</v>
      </c>
      <c r="B290" s="70">
        <f>12460.9+8500</f>
        <v>20960.9</v>
      </c>
      <c r="C290" s="8">
        <f>2520+21350</f>
        <v>23870</v>
      </c>
      <c r="D290" s="8"/>
      <c r="E290" s="54">
        <f t="shared" si="83"/>
        <v>44830.9</v>
      </c>
      <c r="F290" s="53">
        <f>7000+15000</f>
        <v>22000</v>
      </c>
      <c r="G290" s="106">
        <v>-15000</v>
      </c>
      <c r="H290" s="15">
        <f t="shared" si="84"/>
        <v>51830.899999999994</v>
      </c>
      <c r="I290" s="8"/>
      <c r="J290" s="8"/>
      <c r="K290" s="54">
        <f t="shared" si="85"/>
        <v>51830.899999999994</v>
      </c>
      <c r="L290" s="53"/>
      <c r="M290" s="8"/>
      <c r="N290" s="54">
        <f t="shared" si="86"/>
        <v>51830.899999999994</v>
      </c>
    </row>
    <row r="291" spans="1:14" ht="12.75">
      <c r="A291" s="80" t="s">
        <v>114</v>
      </c>
      <c r="B291" s="70"/>
      <c r="C291" s="8">
        <v>100</v>
      </c>
      <c r="D291" s="8"/>
      <c r="E291" s="54">
        <f t="shared" si="83"/>
        <v>100</v>
      </c>
      <c r="F291" s="53"/>
      <c r="G291" s="106"/>
      <c r="H291" s="15">
        <f t="shared" si="84"/>
        <v>100</v>
      </c>
      <c r="I291" s="8"/>
      <c r="J291" s="8"/>
      <c r="K291" s="54">
        <f t="shared" si="85"/>
        <v>100</v>
      </c>
      <c r="L291" s="53"/>
      <c r="M291" s="8"/>
      <c r="N291" s="54"/>
    </row>
    <row r="292" spans="1:14" ht="12.75">
      <c r="A292" s="100" t="s">
        <v>244</v>
      </c>
      <c r="B292" s="70"/>
      <c r="C292" s="8">
        <v>0.8</v>
      </c>
      <c r="D292" s="8"/>
      <c r="E292" s="54">
        <f t="shared" si="83"/>
        <v>0.8</v>
      </c>
      <c r="F292" s="53">
        <v>0.3</v>
      </c>
      <c r="G292" s="106"/>
      <c r="H292" s="15">
        <f t="shared" si="84"/>
        <v>1.1</v>
      </c>
      <c r="I292" s="8">
        <v>0.4</v>
      </c>
      <c r="J292" s="8"/>
      <c r="K292" s="54">
        <f t="shared" si="85"/>
        <v>1.5</v>
      </c>
      <c r="L292" s="53"/>
      <c r="M292" s="8"/>
      <c r="N292" s="54"/>
    </row>
    <row r="293" spans="1:14" ht="12.75">
      <c r="A293" s="80" t="s">
        <v>158</v>
      </c>
      <c r="B293" s="53"/>
      <c r="C293" s="8">
        <v>397.1</v>
      </c>
      <c r="D293" s="8"/>
      <c r="E293" s="54">
        <f t="shared" si="83"/>
        <v>397.1</v>
      </c>
      <c r="F293" s="53"/>
      <c r="G293" s="106"/>
      <c r="H293" s="15">
        <f t="shared" si="84"/>
        <v>397.1</v>
      </c>
      <c r="I293" s="8">
        <v>444.6</v>
      </c>
      <c r="J293" s="8"/>
      <c r="K293" s="54">
        <f t="shared" si="85"/>
        <v>841.7</v>
      </c>
      <c r="L293" s="71"/>
      <c r="M293" s="8"/>
      <c r="N293" s="54">
        <f t="shared" si="86"/>
        <v>841.7</v>
      </c>
    </row>
    <row r="294" spans="1:14" ht="12.75">
      <c r="A294" s="87" t="s">
        <v>160</v>
      </c>
      <c r="B294" s="57"/>
      <c r="C294" s="11">
        <v>75.9</v>
      </c>
      <c r="D294" s="11"/>
      <c r="E294" s="58">
        <f t="shared" si="83"/>
        <v>75.9</v>
      </c>
      <c r="F294" s="57">
        <v>62</v>
      </c>
      <c r="G294" s="17"/>
      <c r="H294" s="169">
        <f t="shared" si="84"/>
        <v>137.9</v>
      </c>
      <c r="I294" s="11">
        <v>133.2</v>
      </c>
      <c r="J294" s="11"/>
      <c r="K294" s="58">
        <f t="shared" si="85"/>
        <v>271.1</v>
      </c>
      <c r="L294" s="53"/>
      <c r="M294" s="8"/>
      <c r="N294" s="54">
        <f t="shared" si="86"/>
        <v>271.1</v>
      </c>
    </row>
    <row r="295" spans="1:14" ht="12.75">
      <c r="A295" s="82" t="s">
        <v>83</v>
      </c>
      <c r="B295" s="61">
        <f aca="true" t="shared" si="87" ref="B295:H295">SUM(B297:B303)</f>
        <v>3000</v>
      </c>
      <c r="C295" s="13">
        <f t="shared" si="87"/>
        <v>29205.7</v>
      </c>
      <c r="D295" s="13">
        <f t="shared" si="87"/>
        <v>1641.2</v>
      </c>
      <c r="E295" s="62">
        <f t="shared" si="87"/>
        <v>33846.9</v>
      </c>
      <c r="F295" s="61">
        <f t="shared" si="87"/>
        <v>25824.699999999997</v>
      </c>
      <c r="G295" s="138">
        <f t="shared" si="87"/>
        <v>45000</v>
      </c>
      <c r="H295" s="168">
        <f t="shared" si="87"/>
        <v>104671.6</v>
      </c>
      <c r="I295" s="13">
        <f>SUM(I297:I303)</f>
        <v>19864.6</v>
      </c>
      <c r="J295" s="13">
        <f>SUM(J299:J303)</f>
        <v>0</v>
      </c>
      <c r="K295" s="62">
        <f>SUM(K297:K303)</f>
        <v>124536.2</v>
      </c>
      <c r="L295" s="61">
        <f>SUM(L299:L303)</f>
        <v>0</v>
      </c>
      <c r="M295" s="13">
        <f>SUM(M299:M303)</f>
        <v>0</v>
      </c>
      <c r="N295" s="62">
        <f>SUM(N299:N303)</f>
        <v>6500</v>
      </c>
    </row>
    <row r="296" spans="1:14" ht="12.75">
      <c r="A296" s="78" t="s">
        <v>47</v>
      </c>
      <c r="B296" s="53"/>
      <c r="C296" s="8"/>
      <c r="D296" s="8"/>
      <c r="E296" s="54"/>
      <c r="F296" s="53"/>
      <c r="G296" s="106"/>
      <c r="H296" s="15"/>
      <c r="I296" s="8"/>
      <c r="J296" s="8"/>
      <c r="K296" s="54"/>
      <c r="L296" s="53"/>
      <c r="M296" s="8"/>
      <c r="N296" s="54"/>
    </row>
    <row r="297" spans="1:14" ht="12.75">
      <c r="A297" s="80" t="s">
        <v>114</v>
      </c>
      <c r="B297" s="53"/>
      <c r="C297" s="8">
        <f>8567+19070.9</f>
        <v>27637.9</v>
      </c>
      <c r="D297" s="8">
        <v>1641.2</v>
      </c>
      <c r="E297" s="54">
        <f aca="true" t="shared" si="88" ref="E297:E303">B297+C297+D297</f>
        <v>29279.100000000002</v>
      </c>
      <c r="F297" s="53">
        <v>11597.4</v>
      </c>
      <c r="G297" s="106"/>
      <c r="H297" s="15">
        <f aca="true" t="shared" si="89" ref="H297:H303">E297+F297+G297</f>
        <v>40876.5</v>
      </c>
      <c r="I297" s="8"/>
      <c r="J297" s="8"/>
      <c r="K297" s="54">
        <f aca="true" t="shared" si="90" ref="K297:K303">H297+I297+J297</f>
        <v>40876.5</v>
      </c>
      <c r="L297" s="53"/>
      <c r="M297" s="8"/>
      <c r="N297" s="54"/>
    </row>
    <row r="298" spans="1:14" ht="12.75">
      <c r="A298" s="80" t="s">
        <v>270</v>
      </c>
      <c r="B298" s="53"/>
      <c r="C298" s="8"/>
      <c r="D298" s="8"/>
      <c r="E298" s="54">
        <f t="shared" si="88"/>
        <v>0</v>
      </c>
      <c r="F298" s="53"/>
      <c r="G298" s="106">
        <v>45000</v>
      </c>
      <c r="H298" s="15">
        <f t="shared" si="89"/>
        <v>45000</v>
      </c>
      <c r="I298" s="8"/>
      <c r="J298" s="8"/>
      <c r="K298" s="54">
        <f t="shared" si="90"/>
        <v>45000</v>
      </c>
      <c r="L298" s="53"/>
      <c r="M298" s="8"/>
      <c r="N298" s="54"/>
    </row>
    <row r="299" spans="1:14" ht="12.75">
      <c r="A299" s="85" t="s">
        <v>161</v>
      </c>
      <c r="B299" s="53">
        <v>3000</v>
      </c>
      <c r="C299" s="8"/>
      <c r="D299" s="8"/>
      <c r="E299" s="54">
        <f t="shared" si="88"/>
        <v>3000</v>
      </c>
      <c r="F299" s="53"/>
      <c r="G299" s="106"/>
      <c r="H299" s="15">
        <f t="shared" si="89"/>
        <v>3000</v>
      </c>
      <c r="I299" s="8"/>
      <c r="J299" s="8"/>
      <c r="K299" s="54">
        <f t="shared" si="90"/>
        <v>3000</v>
      </c>
      <c r="L299" s="53"/>
      <c r="M299" s="8"/>
      <c r="N299" s="54">
        <f>K299+L299+M299</f>
        <v>3000</v>
      </c>
    </row>
    <row r="300" spans="1:14" ht="12.75" hidden="1">
      <c r="A300" s="80" t="s">
        <v>155</v>
      </c>
      <c r="B300" s="53"/>
      <c r="C300" s="8"/>
      <c r="D300" s="8"/>
      <c r="E300" s="54">
        <f t="shared" si="88"/>
        <v>0</v>
      </c>
      <c r="F300" s="53"/>
      <c r="G300" s="106"/>
      <c r="H300" s="15">
        <f t="shared" si="89"/>
        <v>0</v>
      </c>
      <c r="I300" s="8"/>
      <c r="J300" s="8"/>
      <c r="K300" s="54">
        <f t="shared" si="90"/>
        <v>0</v>
      </c>
      <c r="L300" s="53"/>
      <c r="M300" s="8"/>
      <c r="N300" s="54">
        <f>K300+L300+M300</f>
        <v>0</v>
      </c>
    </row>
    <row r="301" spans="1:14" ht="12.75">
      <c r="A301" s="80" t="s">
        <v>280</v>
      </c>
      <c r="B301" s="53"/>
      <c r="C301" s="106"/>
      <c r="D301" s="106"/>
      <c r="E301" s="54"/>
      <c r="F301" s="53"/>
      <c r="G301" s="106"/>
      <c r="H301" s="15">
        <f t="shared" si="89"/>
        <v>0</v>
      </c>
      <c r="I301" s="8">
        <v>7500</v>
      </c>
      <c r="J301" s="106"/>
      <c r="K301" s="54">
        <f t="shared" si="90"/>
        <v>7500</v>
      </c>
      <c r="L301" s="53"/>
      <c r="M301" s="106"/>
      <c r="N301" s="54"/>
    </row>
    <row r="302" spans="1:14" ht="12.75">
      <c r="A302" s="100" t="s">
        <v>244</v>
      </c>
      <c r="B302" s="53"/>
      <c r="C302" s="106">
        <v>1567.8</v>
      </c>
      <c r="D302" s="106"/>
      <c r="E302" s="54">
        <f t="shared" si="88"/>
        <v>1567.8</v>
      </c>
      <c r="F302" s="53">
        <v>10727.3</v>
      </c>
      <c r="G302" s="106"/>
      <c r="H302" s="15">
        <f t="shared" si="89"/>
        <v>12295.099999999999</v>
      </c>
      <c r="I302" s="8">
        <f>11362.1+1002.5</f>
        <v>12364.6</v>
      </c>
      <c r="J302" s="106"/>
      <c r="K302" s="54">
        <f t="shared" si="90"/>
        <v>24659.699999999997</v>
      </c>
      <c r="L302" s="53"/>
      <c r="M302" s="106"/>
      <c r="N302" s="54"/>
    </row>
    <row r="303" spans="1:14" ht="12.75">
      <c r="A303" s="79" t="s">
        <v>84</v>
      </c>
      <c r="B303" s="57"/>
      <c r="C303" s="17"/>
      <c r="D303" s="17"/>
      <c r="E303" s="58">
        <f t="shared" si="88"/>
        <v>0</v>
      </c>
      <c r="F303" s="57">
        <f>3500</f>
        <v>3500</v>
      </c>
      <c r="G303" s="17"/>
      <c r="H303" s="169">
        <f t="shared" si="89"/>
        <v>3500</v>
      </c>
      <c r="I303" s="11"/>
      <c r="J303" s="17"/>
      <c r="K303" s="58">
        <f t="shared" si="90"/>
        <v>3500</v>
      </c>
      <c r="L303" s="57"/>
      <c r="M303" s="17"/>
      <c r="N303" s="58">
        <f>K303+L303+M303</f>
        <v>3500</v>
      </c>
    </row>
    <row r="304" spans="1:14" ht="12.75">
      <c r="A304" s="88" t="s">
        <v>162</v>
      </c>
      <c r="B304" s="55">
        <f aca="true" t="shared" si="91" ref="B304:N304">B305+B316</f>
        <v>153702.5</v>
      </c>
      <c r="C304" s="18">
        <f t="shared" si="91"/>
        <v>31104.9</v>
      </c>
      <c r="D304" s="18">
        <f t="shared" si="91"/>
        <v>700</v>
      </c>
      <c r="E304" s="68">
        <f t="shared" si="91"/>
        <v>185507.4</v>
      </c>
      <c r="F304" s="55">
        <f t="shared" si="91"/>
        <v>-3100</v>
      </c>
      <c r="G304" s="18">
        <f t="shared" si="91"/>
        <v>0</v>
      </c>
      <c r="H304" s="172">
        <f t="shared" si="91"/>
        <v>182407.4</v>
      </c>
      <c r="I304" s="9">
        <f t="shared" si="91"/>
        <v>904.3000000000001</v>
      </c>
      <c r="J304" s="18">
        <f t="shared" si="91"/>
        <v>0</v>
      </c>
      <c r="K304" s="68">
        <f t="shared" si="91"/>
        <v>183311.7</v>
      </c>
      <c r="L304" s="55">
        <f t="shared" si="91"/>
        <v>0</v>
      </c>
      <c r="M304" s="18">
        <f t="shared" si="91"/>
        <v>0</v>
      </c>
      <c r="N304" s="68">
        <f t="shared" si="91"/>
        <v>172171</v>
      </c>
    </row>
    <row r="305" spans="1:14" ht="12.75">
      <c r="A305" s="82" t="s">
        <v>77</v>
      </c>
      <c r="B305" s="61">
        <f aca="true" t="shared" si="92" ref="B305:N305">SUM(B307:B315)</f>
        <v>153702.5</v>
      </c>
      <c r="C305" s="13">
        <f t="shared" si="92"/>
        <v>3200</v>
      </c>
      <c r="D305" s="13">
        <f t="shared" si="92"/>
        <v>0</v>
      </c>
      <c r="E305" s="62">
        <f t="shared" si="92"/>
        <v>156902.5</v>
      </c>
      <c r="F305" s="61">
        <f t="shared" si="92"/>
        <v>-3100</v>
      </c>
      <c r="G305" s="127">
        <f t="shared" si="92"/>
        <v>0</v>
      </c>
      <c r="H305" s="168">
        <f t="shared" si="92"/>
        <v>153802.5</v>
      </c>
      <c r="I305" s="13">
        <f t="shared" si="92"/>
        <v>-49.39999999999998</v>
      </c>
      <c r="J305" s="13">
        <f t="shared" si="92"/>
        <v>0</v>
      </c>
      <c r="K305" s="62">
        <f t="shared" si="92"/>
        <v>153753.1</v>
      </c>
      <c r="L305" s="61">
        <f t="shared" si="92"/>
        <v>0</v>
      </c>
      <c r="M305" s="13">
        <f t="shared" si="92"/>
        <v>0</v>
      </c>
      <c r="N305" s="62">
        <f t="shared" si="92"/>
        <v>148235.5</v>
      </c>
    </row>
    <row r="306" spans="1:14" ht="12.75">
      <c r="A306" s="78" t="s">
        <v>47</v>
      </c>
      <c r="B306" s="53"/>
      <c r="C306" s="8"/>
      <c r="D306" s="8"/>
      <c r="E306" s="54"/>
      <c r="F306" s="53"/>
      <c r="G306" s="106"/>
      <c r="H306" s="15"/>
      <c r="I306" s="8"/>
      <c r="J306" s="8"/>
      <c r="K306" s="54"/>
      <c r="L306" s="53"/>
      <c r="M306" s="8"/>
      <c r="N306" s="54"/>
    </row>
    <row r="307" spans="1:14" ht="12.75">
      <c r="A307" s="80" t="s">
        <v>110</v>
      </c>
      <c r="B307" s="53">
        <v>127400</v>
      </c>
      <c r="C307" s="8"/>
      <c r="D307" s="8">
        <v>210</v>
      </c>
      <c r="E307" s="54">
        <f>B307+C307+D307</f>
        <v>127610</v>
      </c>
      <c r="F307" s="53"/>
      <c r="G307" s="106"/>
      <c r="H307" s="15">
        <f>E307+F307+G307</f>
        <v>127610</v>
      </c>
      <c r="I307" s="8"/>
      <c r="J307" s="8"/>
      <c r="K307" s="54">
        <f>H307+I307+J307</f>
        <v>127610</v>
      </c>
      <c r="L307" s="53"/>
      <c r="M307" s="8"/>
      <c r="N307" s="54">
        <f>K307+L307+M307</f>
        <v>127610</v>
      </c>
    </row>
    <row r="308" spans="1:14" ht="12.75">
      <c r="A308" s="80" t="s">
        <v>80</v>
      </c>
      <c r="B308" s="53">
        <v>23102.5</v>
      </c>
      <c r="C308" s="8">
        <f>-5830+3000</f>
        <v>-2830</v>
      </c>
      <c r="D308" s="8">
        <v>-950</v>
      </c>
      <c r="E308" s="54">
        <f aca="true" t="shared" si="93" ref="E308:E315">B308+C308+D308</f>
        <v>19322.5</v>
      </c>
      <c r="F308" s="53">
        <v>-8000</v>
      </c>
      <c r="G308" s="106"/>
      <c r="H308" s="15">
        <f aca="true" t="shared" si="94" ref="H308:H315">E308+F308+G308</f>
        <v>11322.5</v>
      </c>
      <c r="I308" s="8">
        <f>37-700</f>
        <v>-663</v>
      </c>
      <c r="J308" s="8"/>
      <c r="K308" s="54">
        <f aca="true" t="shared" si="95" ref="K308:K315">H308+I308+J308</f>
        <v>10659.5</v>
      </c>
      <c r="L308" s="53"/>
      <c r="M308" s="8"/>
      <c r="N308" s="54">
        <f aca="true" t="shared" si="96" ref="N308:N313">K308+L308+M308</f>
        <v>10659.5</v>
      </c>
    </row>
    <row r="309" spans="1:14" ht="12.75">
      <c r="A309" s="80" t="s">
        <v>214</v>
      </c>
      <c r="B309" s="53">
        <v>3200</v>
      </c>
      <c r="C309" s="8"/>
      <c r="D309" s="8"/>
      <c r="E309" s="54">
        <f t="shared" si="93"/>
        <v>3200</v>
      </c>
      <c r="F309" s="53"/>
      <c r="G309" s="106"/>
      <c r="H309" s="15">
        <f t="shared" si="94"/>
        <v>3200</v>
      </c>
      <c r="I309" s="8"/>
      <c r="J309" s="8"/>
      <c r="K309" s="54">
        <f t="shared" si="95"/>
        <v>3200</v>
      </c>
      <c r="L309" s="53"/>
      <c r="M309" s="8"/>
      <c r="N309" s="54">
        <f t="shared" si="96"/>
        <v>3200</v>
      </c>
    </row>
    <row r="310" spans="1:14" ht="12.75">
      <c r="A310" s="80" t="s">
        <v>95</v>
      </c>
      <c r="B310" s="53"/>
      <c r="C310" s="8">
        <v>5830</v>
      </c>
      <c r="D310" s="8">
        <v>740</v>
      </c>
      <c r="E310" s="54">
        <f t="shared" si="93"/>
        <v>6570</v>
      </c>
      <c r="F310" s="53"/>
      <c r="G310" s="106"/>
      <c r="H310" s="15">
        <f t="shared" si="94"/>
        <v>6570</v>
      </c>
      <c r="I310" s="8"/>
      <c r="J310" s="8"/>
      <c r="K310" s="54">
        <f t="shared" si="95"/>
        <v>6570</v>
      </c>
      <c r="L310" s="53"/>
      <c r="M310" s="8"/>
      <c r="N310" s="54">
        <f t="shared" si="96"/>
        <v>6570</v>
      </c>
    </row>
    <row r="311" spans="1:14" ht="12.75">
      <c r="A311" s="80" t="s">
        <v>221</v>
      </c>
      <c r="B311" s="53"/>
      <c r="C311" s="8"/>
      <c r="D311" s="8"/>
      <c r="E311" s="54">
        <f t="shared" si="93"/>
        <v>0</v>
      </c>
      <c r="F311" s="53">
        <v>4900</v>
      </c>
      <c r="G311" s="106"/>
      <c r="H311" s="15">
        <f t="shared" si="94"/>
        <v>4900</v>
      </c>
      <c r="I311" s="8"/>
      <c r="J311" s="8"/>
      <c r="K311" s="54">
        <f t="shared" si="95"/>
        <v>4900</v>
      </c>
      <c r="L311" s="53"/>
      <c r="M311" s="8"/>
      <c r="N311" s="54"/>
    </row>
    <row r="312" spans="1:14" ht="12.75">
      <c r="A312" s="80" t="s">
        <v>163</v>
      </c>
      <c r="B312" s="53"/>
      <c r="C312" s="8"/>
      <c r="D312" s="8"/>
      <c r="E312" s="54">
        <f t="shared" si="93"/>
        <v>0</v>
      </c>
      <c r="F312" s="53"/>
      <c r="G312" s="106"/>
      <c r="H312" s="15">
        <f t="shared" si="94"/>
        <v>0</v>
      </c>
      <c r="I312" s="8">
        <v>97</v>
      </c>
      <c r="J312" s="8"/>
      <c r="K312" s="54">
        <f t="shared" si="95"/>
        <v>97</v>
      </c>
      <c r="L312" s="53"/>
      <c r="M312" s="8"/>
      <c r="N312" s="54">
        <f t="shared" si="96"/>
        <v>97</v>
      </c>
    </row>
    <row r="313" spans="1:14" ht="12.75">
      <c r="A313" s="80" t="s">
        <v>164</v>
      </c>
      <c r="B313" s="53"/>
      <c r="C313" s="8"/>
      <c r="D313" s="8"/>
      <c r="E313" s="54">
        <f t="shared" si="93"/>
        <v>0</v>
      </c>
      <c r="F313" s="53"/>
      <c r="G313" s="106"/>
      <c r="H313" s="15">
        <f t="shared" si="94"/>
        <v>0</v>
      </c>
      <c r="I313" s="8">
        <v>99</v>
      </c>
      <c r="J313" s="8"/>
      <c r="K313" s="54">
        <f t="shared" si="95"/>
        <v>99</v>
      </c>
      <c r="L313" s="53"/>
      <c r="M313" s="8"/>
      <c r="N313" s="54">
        <f t="shared" si="96"/>
        <v>99</v>
      </c>
    </row>
    <row r="314" spans="1:14" ht="12.75">
      <c r="A314" s="141" t="s">
        <v>253</v>
      </c>
      <c r="B314" s="53"/>
      <c r="C314" s="8"/>
      <c r="D314" s="8"/>
      <c r="E314" s="54"/>
      <c r="F314" s="53"/>
      <c r="G314" s="106"/>
      <c r="H314" s="15"/>
      <c r="I314" s="8">
        <v>417.6</v>
      </c>
      <c r="J314" s="8"/>
      <c r="K314" s="54">
        <f t="shared" si="95"/>
        <v>417.6</v>
      </c>
      <c r="L314" s="53"/>
      <c r="M314" s="8"/>
      <c r="N314" s="54"/>
    </row>
    <row r="315" spans="1:14" ht="12.75">
      <c r="A315" s="80" t="s">
        <v>114</v>
      </c>
      <c r="B315" s="53"/>
      <c r="C315" s="8">
        <v>200</v>
      </c>
      <c r="D315" s="8"/>
      <c r="E315" s="54">
        <f t="shared" si="93"/>
        <v>200</v>
      </c>
      <c r="F315" s="53"/>
      <c r="G315" s="106"/>
      <c r="H315" s="15">
        <f t="shared" si="94"/>
        <v>200</v>
      </c>
      <c r="I315" s="8"/>
      <c r="J315" s="8"/>
      <c r="K315" s="54">
        <f t="shared" si="95"/>
        <v>200</v>
      </c>
      <c r="L315" s="53"/>
      <c r="M315" s="8"/>
      <c r="N315" s="54"/>
    </row>
    <row r="316" spans="1:14" ht="12.75">
      <c r="A316" s="82" t="s">
        <v>83</v>
      </c>
      <c r="B316" s="61">
        <f aca="true" t="shared" si="97" ref="B316:H316">SUM(B318:B320)</f>
        <v>0</v>
      </c>
      <c r="C316" s="13">
        <f t="shared" si="97"/>
        <v>27904.9</v>
      </c>
      <c r="D316" s="13">
        <f t="shared" si="97"/>
        <v>700</v>
      </c>
      <c r="E316" s="62">
        <f t="shared" si="97"/>
        <v>28604.9</v>
      </c>
      <c r="F316" s="61">
        <f t="shared" si="97"/>
        <v>0</v>
      </c>
      <c r="G316" s="138">
        <f t="shared" si="97"/>
        <v>0</v>
      </c>
      <c r="H316" s="168">
        <f t="shared" si="97"/>
        <v>28604.9</v>
      </c>
      <c r="I316" s="13">
        <f>SUM(I318:I320)</f>
        <v>953.7</v>
      </c>
      <c r="J316" s="13">
        <f>SUM(J320:J320)</f>
        <v>0</v>
      </c>
      <c r="K316" s="62">
        <f>SUM(K318:K320)</f>
        <v>29558.6</v>
      </c>
      <c r="L316" s="61">
        <f>SUM(L320:L320)</f>
        <v>0</v>
      </c>
      <c r="M316" s="13">
        <f>SUM(M320:M320)</f>
        <v>0</v>
      </c>
      <c r="N316" s="62">
        <f>SUM(N320:N320)</f>
        <v>23935.5</v>
      </c>
    </row>
    <row r="317" spans="1:14" ht="12.75">
      <c r="A317" s="78" t="s">
        <v>47</v>
      </c>
      <c r="B317" s="53"/>
      <c r="C317" s="8"/>
      <c r="D317" s="8"/>
      <c r="E317" s="54"/>
      <c r="F317" s="53"/>
      <c r="G317" s="106"/>
      <c r="H317" s="15"/>
      <c r="I317" s="8"/>
      <c r="J317" s="8"/>
      <c r="K317" s="54"/>
      <c r="L317" s="53"/>
      <c r="M317" s="8"/>
      <c r="N317" s="54"/>
    </row>
    <row r="318" spans="1:14" ht="12.75">
      <c r="A318" s="141" t="s">
        <v>253</v>
      </c>
      <c r="B318" s="53"/>
      <c r="C318" s="8">
        <v>3969.4</v>
      </c>
      <c r="D318" s="8"/>
      <c r="E318" s="54">
        <f>B318+C318+D318</f>
        <v>3969.4</v>
      </c>
      <c r="F318" s="53"/>
      <c r="G318" s="106"/>
      <c r="H318" s="15">
        <f>E318+F318+G318</f>
        <v>3969.4</v>
      </c>
      <c r="I318" s="8">
        <v>953.7</v>
      </c>
      <c r="J318" s="8"/>
      <c r="K318" s="54">
        <f>H318+I318+J318</f>
        <v>4923.1</v>
      </c>
      <c r="L318" s="53"/>
      <c r="M318" s="8"/>
      <c r="N318" s="54"/>
    </row>
    <row r="319" spans="1:14" ht="12.75">
      <c r="A319" s="121" t="s">
        <v>254</v>
      </c>
      <c r="B319" s="53"/>
      <c r="C319" s="8"/>
      <c r="D319" s="8">
        <v>700</v>
      </c>
      <c r="E319" s="54">
        <f>B319+C319+D319</f>
        <v>700</v>
      </c>
      <c r="F319" s="53"/>
      <c r="G319" s="106"/>
      <c r="H319" s="15">
        <f>E319+F319+G319</f>
        <v>700</v>
      </c>
      <c r="I319" s="8"/>
      <c r="J319" s="8"/>
      <c r="K319" s="54">
        <f>H319+I319+J319</f>
        <v>700</v>
      </c>
      <c r="L319" s="53"/>
      <c r="M319" s="8"/>
      <c r="N319" s="54"/>
    </row>
    <row r="320" spans="1:14" ht="12.75">
      <c r="A320" s="87" t="s">
        <v>114</v>
      </c>
      <c r="B320" s="57"/>
      <c r="C320" s="11">
        <f>19413.5+4522</f>
        <v>23935.5</v>
      </c>
      <c r="D320" s="11"/>
      <c r="E320" s="58">
        <f>B320+C320+D320</f>
        <v>23935.5</v>
      </c>
      <c r="F320" s="57"/>
      <c r="G320" s="17"/>
      <c r="H320" s="169">
        <f>E320+F320+G320</f>
        <v>23935.5</v>
      </c>
      <c r="I320" s="11"/>
      <c r="J320" s="11"/>
      <c r="K320" s="58">
        <f>H320+I320+J320</f>
        <v>23935.5</v>
      </c>
      <c r="L320" s="53"/>
      <c r="M320" s="8"/>
      <c r="N320" s="54">
        <f>K320+L320+M320</f>
        <v>23935.5</v>
      </c>
    </row>
    <row r="321" spans="1:14" ht="12.75">
      <c r="A321" s="73" t="s">
        <v>165</v>
      </c>
      <c r="B321" s="51">
        <f aca="true" t="shared" si="98" ref="B321:N321">B322+B342</f>
        <v>133078.2</v>
      </c>
      <c r="C321" s="7">
        <f t="shared" si="98"/>
        <v>65916.5</v>
      </c>
      <c r="D321" s="7">
        <f t="shared" si="98"/>
        <v>205.5</v>
      </c>
      <c r="E321" s="52">
        <f t="shared" si="98"/>
        <v>199200.2</v>
      </c>
      <c r="F321" s="51">
        <f t="shared" si="98"/>
        <v>28076.7</v>
      </c>
      <c r="G321" s="125">
        <f t="shared" si="98"/>
        <v>26600</v>
      </c>
      <c r="H321" s="166">
        <f t="shared" si="98"/>
        <v>253876.90000000002</v>
      </c>
      <c r="I321" s="7">
        <f t="shared" si="98"/>
        <v>55298.70000000001</v>
      </c>
      <c r="J321" s="7">
        <f t="shared" si="98"/>
        <v>0</v>
      </c>
      <c r="K321" s="52">
        <f t="shared" si="98"/>
        <v>309175.6</v>
      </c>
      <c r="L321" s="51">
        <f t="shared" si="98"/>
        <v>0</v>
      </c>
      <c r="M321" s="7">
        <f t="shared" si="98"/>
        <v>0</v>
      </c>
      <c r="N321" s="52">
        <f t="shared" si="98"/>
        <v>274692.19999999995</v>
      </c>
    </row>
    <row r="322" spans="1:14" ht="12.75">
      <c r="A322" s="82" t="s">
        <v>77</v>
      </c>
      <c r="B322" s="61">
        <f>SUM(B324:B341)</f>
        <v>133078.2</v>
      </c>
      <c r="C322" s="13">
        <f aca="true" t="shared" si="99" ref="C322:N322">SUM(C324:C341)</f>
        <v>64685.299999999996</v>
      </c>
      <c r="D322" s="13">
        <f t="shared" si="99"/>
        <v>205.5</v>
      </c>
      <c r="E322" s="62">
        <f t="shared" si="99"/>
        <v>197969</v>
      </c>
      <c r="F322" s="61">
        <f t="shared" si="99"/>
        <v>28076.7</v>
      </c>
      <c r="G322" s="127">
        <f t="shared" si="99"/>
        <v>26350</v>
      </c>
      <c r="H322" s="168">
        <f t="shared" si="99"/>
        <v>252395.7</v>
      </c>
      <c r="I322" s="13">
        <f t="shared" si="99"/>
        <v>34918.90000000001</v>
      </c>
      <c r="J322" s="13">
        <f t="shared" si="99"/>
        <v>0</v>
      </c>
      <c r="K322" s="62">
        <f t="shared" si="99"/>
        <v>287314.6</v>
      </c>
      <c r="L322" s="61">
        <f t="shared" si="99"/>
        <v>0</v>
      </c>
      <c r="M322" s="13">
        <f t="shared" si="99"/>
        <v>0</v>
      </c>
      <c r="N322" s="62">
        <f t="shared" si="99"/>
        <v>274259.69999999995</v>
      </c>
    </row>
    <row r="323" spans="1:14" ht="12.75">
      <c r="A323" s="78" t="s">
        <v>47</v>
      </c>
      <c r="B323" s="53"/>
      <c r="C323" s="8"/>
      <c r="D323" s="8"/>
      <c r="E323" s="54"/>
      <c r="F323" s="53"/>
      <c r="G323" s="106"/>
      <c r="H323" s="15"/>
      <c r="I323" s="8"/>
      <c r="J323" s="8"/>
      <c r="K323" s="54"/>
      <c r="L323" s="53"/>
      <c r="M323" s="8"/>
      <c r="N323" s="54"/>
    </row>
    <row r="324" spans="1:14" ht="12.75">
      <c r="A324" s="89" t="s">
        <v>166</v>
      </c>
      <c r="B324" s="53">
        <v>78118.2</v>
      </c>
      <c r="C324" s="8">
        <v>620.6</v>
      </c>
      <c r="D324" s="8"/>
      <c r="E324" s="54">
        <f>B324+C324+D324</f>
        <v>78738.8</v>
      </c>
      <c r="F324" s="53"/>
      <c r="G324" s="106"/>
      <c r="H324" s="15">
        <f>E324+F324+G324</f>
        <v>78738.8</v>
      </c>
      <c r="I324" s="8"/>
      <c r="J324" s="8"/>
      <c r="K324" s="54">
        <f>H324+I324+J324</f>
        <v>78738.8</v>
      </c>
      <c r="L324" s="53"/>
      <c r="M324" s="8"/>
      <c r="N324" s="54">
        <f>K324+L324+M324</f>
        <v>78738.8</v>
      </c>
    </row>
    <row r="325" spans="1:14" ht="12.75">
      <c r="A325" s="76" t="s">
        <v>221</v>
      </c>
      <c r="B325" s="53">
        <v>45700</v>
      </c>
      <c r="C325" s="8"/>
      <c r="D325" s="8"/>
      <c r="E325" s="54">
        <f aca="true" t="shared" si="100" ref="E325:E341">B325+C325+D325</f>
        <v>45700</v>
      </c>
      <c r="F325" s="53"/>
      <c r="G325" s="106"/>
      <c r="H325" s="15">
        <f aca="true" t="shared" si="101" ref="H325:H341">E325+F325+G325</f>
        <v>45700</v>
      </c>
      <c r="I325" s="8"/>
      <c r="J325" s="8"/>
      <c r="K325" s="54">
        <f aca="true" t="shared" si="102" ref="K325:K341">H325+I325+J325</f>
        <v>45700</v>
      </c>
      <c r="L325" s="53"/>
      <c r="M325" s="8"/>
      <c r="N325" s="54">
        <f aca="true" t="shared" si="103" ref="N325:N341">K325+L325+M325</f>
        <v>45700</v>
      </c>
    </row>
    <row r="326" spans="1:14" ht="12.75">
      <c r="A326" s="76" t="s">
        <v>80</v>
      </c>
      <c r="B326" s="53">
        <v>9260</v>
      </c>
      <c r="C326" s="8">
        <f>-182.5+7667+10</f>
        <v>7494.5</v>
      </c>
      <c r="D326" s="8">
        <v>205.5</v>
      </c>
      <c r="E326" s="54">
        <f t="shared" si="100"/>
        <v>16960</v>
      </c>
      <c r="F326" s="53"/>
      <c r="G326" s="106">
        <v>-250</v>
      </c>
      <c r="H326" s="15">
        <f t="shared" si="101"/>
        <v>16710</v>
      </c>
      <c r="I326" s="8"/>
      <c r="J326" s="8"/>
      <c r="K326" s="54">
        <f t="shared" si="102"/>
        <v>16710</v>
      </c>
      <c r="L326" s="53"/>
      <c r="M326" s="8"/>
      <c r="N326" s="54">
        <f t="shared" si="103"/>
        <v>16710</v>
      </c>
    </row>
    <row r="327" spans="1:14" ht="12.75" hidden="1">
      <c r="A327" s="76" t="s">
        <v>95</v>
      </c>
      <c r="B327" s="53"/>
      <c r="C327" s="8"/>
      <c r="D327" s="8"/>
      <c r="E327" s="54">
        <f t="shared" si="100"/>
        <v>0</v>
      </c>
      <c r="F327" s="53"/>
      <c r="G327" s="106"/>
      <c r="H327" s="15">
        <f t="shared" si="101"/>
        <v>0</v>
      </c>
      <c r="I327" s="8"/>
      <c r="J327" s="8"/>
      <c r="K327" s="54">
        <f t="shared" si="102"/>
        <v>0</v>
      </c>
      <c r="L327" s="53"/>
      <c r="M327" s="8"/>
      <c r="N327" s="54">
        <f t="shared" si="103"/>
        <v>0</v>
      </c>
    </row>
    <row r="328" spans="1:14" ht="12.75">
      <c r="A328" s="85" t="s">
        <v>232</v>
      </c>
      <c r="B328" s="53"/>
      <c r="C328" s="8">
        <v>629.5</v>
      </c>
      <c r="D328" s="8"/>
      <c r="E328" s="54">
        <f t="shared" si="100"/>
        <v>629.5</v>
      </c>
      <c r="F328" s="53"/>
      <c r="G328" s="106"/>
      <c r="H328" s="15">
        <f t="shared" si="101"/>
        <v>629.5</v>
      </c>
      <c r="I328" s="8"/>
      <c r="J328" s="8"/>
      <c r="K328" s="54">
        <f t="shared" si="102"/>
        <v>629.5</v>
      </c>
      <c r="L328" s="53"/>
      <c r="M328" s="8"/>
      <c r="N328" s="54">
        <f t="shared" si="103"/>
        <v>629.5</v>
      </c>
    </row>
    <row r="329" spans="1:14" ht="12.75">
      <c r="A329" s="85" t="s">
        <v>247</v>
      </c>
      <c r="B329" s="53"/>
      <c r="C329" s="8">
        <v>5277.6</v>
      </c>
      <c r="D329" s="8"/>
      <c r="E329" s="54">
        <f t="shared" si="100"/>
        <v>5277.6</v>
      </c>
      <c r="F329" s="53">
        <v>2920</v>
      </c>
      <c r="G329" s="106"/>
      <c r="H329" s="15">
        <f t="shared" si="101"/>
        <v>8197.6</v>
      </c>
      <c r="I329" s="8">
        <v>4757.3</v>
      </c>
      <c r="J329" s="8"/>
      <c r="K329" s="54">
        <f t="shared" si="102"/>
        <v>12954.900000000001</v>
      </c>
      <c r="L329" s="53"/>
      <c r="M329" s="8"/>
      <c r="N329" s="54"/>
    </row>
    <row r="330" spans="1:14" ht="12.75">
      <c r="A330" s="85" t="s">
        <v>233</v>
      </c>
      <c r="B330" s="53"/>
      <c r="C330" s="8">
        <v>3098.8</v>
      </c>
      <c r="D330" s="8"/>
      <c r="E330" s="54">
        <f t="shared" si="100"/>
        <v>3098.8</v>
      </c>
      <c r="F330" s="53"/>
      <c r="G330" s="106"/>
      <c r="H330" s="15">
        <f t="shared" si="101"/>
        <v>3098.8</v>
      </c>
      <c r="I330" s="8"/>
      <c r="J330" s="8"/>
      <c r="K330" s="54">
        <f t="shared" si="102"/>
        <v>3098.8</v>
      </c>
      <c r="L330" s="53"/>
      <c r="M330" s="8"/>
      <c r="N330" s="54">
        <f t="shared" si="103"/>
        <v>3098.8</v>
      </c>
    </row>
    <row r="331" spans="1:14" ht="12.75">
      <c r="A331" s="85" t="s">
        <v>248</v>
      </c>
      <c r="B331" s="53"/>
      <c r="C331" s="8">
        <v>3670.4</v>
      </c>
      <c r="D331" s="8"/>
      <c r="E331" s="54">
        <f t="shared" si="100"/>
        <v>3670.4</v>
      </c>
      <c r="F331" s="53">
        <v>4226.8</v>
      </c>
      <c r="G331" s="106"/>
      <c r="H331" s="15">
        <f t="shared" si="101"/>
        <v>7897.200000000001</v>
      </c>
      <c r="I331" s="8">
        <v>5016.3</v>
      </c>
      <c r="J331" s="8"/>
      <c r="K331" s="54">
        <f t="shared" si="102"/>
        <v>12913.5</v>
      </c>
      <c r="L331" s="53"/>
      <c r="M331" s="8"/>
      <c r="N331" s="54">
        <f t="shared" si="103"/>
        <v>12913.5</v>
      </c>
    </row>
    <row r="332" spans="1:14" ht="12.75">
      <c r="A332" s="76" t="s">
        <v>234</v>
      </c>
      <c r="B332" s="53"/>
      <c r="C332" s="8">
        <v>17524.6</v>
      </c>
      <c r="D332" s="8"/>
      <c r="E332" s="54">
        <f t="shared" si="100"/>
        <v>17524.6</v>
      </c>
      <c r="F332" s="53"/>
      <c r="G332" s="106"/>
      <c r="H332" s="15">
        <f t="shared" si="101"/>
        <v>17524.6</v>
      </c>
      <c r="I332" s="8"/>
      <c r="J332" s="8"/>
      <c r="K332" s="54">
        <f t="shared" si="102"/>
        <v>17524.6</v>
      </c>
      <c r="L332" s="53"/>
      <c r="M332" s="8"/>
      <c r="N332" s="54">
        <f t="shared" si="103"/>
        <v>17524.6</v>
      </c>
    </row>
    <row r="333" spans="1:14" ht="12.75">
      <c r="A333" s="76" t="s">
        <v>249</v>
      </c>
      <c r="B333" s="53"/>
      <c r="C333" s="8">
        <v>22692.1</v>
      </c>
      <c r="D333" s="8"/>
      <c r="E333" s="54">
        <f t="shared" si="100"/>
        <v>22692.1</v>
      </c>
      <c r="F333" s="53">
        <v>17297.8</v>
      </c>
      <c r="G333" s="106"/>
      <c r="H333" s="15">
        <f t="shared" si="101"/>
        <v>39989.899999999994</v>
      </c>
      <c r="I333" s="8">
        <v>21124.3</v>
      </c>
      <c r="J333" s="8"/>
      <c r="K333" s="54">
        <f t="shared" si="102"/>
        <v>61114.2</v>
      </c>
      <c r="L333" s="53"/>
      <c r="M333" s="8"/>
      <c r="N333" s="54">
        <f t="shared" si="103"/>
        <v>61114.2</v>
      </c>
    </row>
    <row r="334" spans="1:14" ht="12.75">
      <c r="A334" s="74" t="s">
        <v>250</v>
      </c>
      <c r="B334" s="53"/>
      <c r="C334" s="8">
        <v>42.5</v>
      </c>
      <c r="D334" s="8"/>
      <c r="E334" s="54">
        <f t="shared" si="100"/>
        <v>42.5</v>
      </c>
      <c r="F334" s="53"/>
      <c r="G334" s="106"/>
      <c r="H334" s="15">
        <f t="shared" si="101"/>
        <v>42.5</v>
      </c>
      <c r="I334" s="8"/>
      <c r="J334" s="8"/>
      <c r="K334" s="54">
        <f t="shared" si="102"/>
        <v>42.5</v>
      </c>
      <c r="L334" s="53"/>
      <c r="M334" s="8"/>
      <c r="N334" s="54">
        <f t="shared" si="103"/>
        <v>42.5</v>
      </c>
    </row>
    <row r="335" spans="1:14" ht="12.75">
      <c r="A335" s="85" t="s">
        <v>235</v>
      </c>
      <c r="B335" s="53"/>
      <c r="C335" s="8">
        <v>3189.5</v>
      </c>
      <c r="D335" s="8"/>
      <c r="E335" s="54">
        <f t="shared" si="100"/>
        <v>3189.5</v>
      </c>
      <c r="F335" s="53">
        <v>2368</v>
      </c>
      <c r="G335" s="106"/>
      <c r="H335" s="15">
        <f t="shared" si="101"/>
        <v>5557.5</v>
      </c>
      <c r="I335" s="8">
        <v>1927.3</v>
      </c>
      <c r="J335" s="8"/>
      <c r="K335" s="54">
        <f t="shared" si="102"/>
        <v>7484.8</v>
      </c>
      <c r="L335" s="53"/>
      <c r="M335" s="8"/>
      <c r="N335" s="54">
        <f t="shared" si="103"/>
        <v>7484.8</v>
      </c>
    </row>
    <row r="336" spans="1:14" ht="12.75">
      <c r="A336" s="75" t="s">
        <v>167</v>
      </c>
      <c r="B336" s="53"/>
      <c r="C336" s="8"/>
      <c r="D336" s="8"/>
      <c r="E336" s="54">
        <f t="shared" si="100"/>
        <v>0</v>
      </c>
      <c r="F336" s="53"/>
      <c r="G336" s="106"/>
      <c r="H336" s="15">
        <f t="shared" si="101"/>
        <v>0</v>
      </c>
      <c r="I336" s="8"/>
      <c r="J336" s="8"/>
      <c r="K336" s="54">
        <f t="shared" si="102"/>
        <v>0</v>
      </c>
      <c r="L336" s="53"/>
      <c r="M336" s="8"/>
      <c r="N336" s="54">
        <f t="shared" si="103"/>
        <v>0</v>
      </c>
    </row>
    <row r="337" spans="1:14" ht="12.75">
      <c r="A337" s="76" t="s">
        <v>168</v>
      </c>
      <c r="B337" s="53"/>
      <c r="C337" s="8">
        <v>445.2</v>
      </c>
      <c r="D337" s="8"/>
      <c r="E337" s="54">
        <f t="shared" si="100"/>
        <v>445.2</v>
      </c>
      <c r="F337" s="53">
        <v>174.4</v>
      </c>
      <c r="G337" s="106"/>
      <c r="H337" s="15">
        <f t="shared" si="101"/>
        <v>619.6</v>
      </c>
      <c r="I337" s="8">
        <f>287.6+475.3+305.2+380.8</f>
        <v>1448.9</v>
      </c>
      <c r="J337" s="8"/>
      <c r="K337" s="54">
        <f t="shared" si="102"/>
        <v>2068.5</v>
      </c>
      <c r="L337" s="53"/>
      <c r="M337" s="8"/>
      <c r="N337" s="54">
        <f t="shared" si="103"/>
        <v>2068.5</v>
      </c>
    </row>
    <row r="338" spans="1:14" ht="12.75">
      <c r="A338" s="76" t="s">
        <v>259</v>
      </c>
      <c r="B338" s="53"/>
      <c r="C338" s="8"/>
      <c r="D338" s="8"/>
      <c r="E338" s="54">
        <f t="shared" si="100"/>
        <v>0</v>
      </c>
      <c r="F338" s="53">
        <v>1089.7</v>
      </c>
      <c r="G338" s="106"/>
      <c r="H338" s="15">
        <f t="shared" si="101"/>
        <v>1089.7</v>
      </c>
      <c r="I338" s="8">
        <f>131.7+330.1+40+43</f>
        <v>544.8</v>
      </c>
      <c r="J338" s="8"/>
      <c r="K338" s="54">
        <f t="shared" si="102"/>
        <v>1634.5</v>
      </c>
      <c r="L338" s="53"/>
      <c r="M338" s="8"/>
      <c r="N338" s="54">
        <f t="shared" si="103"/>
        <v>1634.5</v>
      </c>
    </row>
    <row r="339" spans="1:14" ht="12.75">
      <c r="A339" s="80" t="s">
        <v>159</v>
      </c>
      <c r="B339" s="53"/>
      <c r="C339" s="8"/>
      <c r="D339" s="8"/>
      <c r="E339" s="54"/>
      <c r="F339" s="53"/>
      <c r="G339" s="106"/>
      <c r="H339" s="15"/>
      <c r="I339" s="8">
        <v>100</v>
      </c>
      <c r="J339" s="8"/>
      <c r="K339" s="54">
        <f t="shared" si="102"/>
        <v>100</v>
      </c>
      <c r="L339" s="53"/>
      <c r="M339" s="8"/>
      <c r="N339" s="54"/>
    </row>
    <row r="340" spans="1:14" ht="12.75" hidden="1">
      <c r="A340" s="76" t="s">
        <v>98</v>
      </c>
      <c r="B340" s="53"/>
      <c r="C340" s="8"/>
      <c r="D340" s="8"/>
      <c r="E340" s="54">
        <f t="shared" si="100"/>
        <v>0</v>
      </c>
      <c r="F340" s="53"/>
      <c r="G340" s="106"/>
      <c r="H340" s="15">
        <f t="shared" si="101"/>
        <v>0</v>
      </c>
      <c r="I340" s="8"/>
      <c r="J340" s="8"/>
      <c r="K340" s="54">
        <f t="shared" si="102"/>
        <v>0</v>
      </c>
      <c r="L340" s="53"/>
      <c r="M340" s="8"/>
      <c r="N340" s="54">
        <f t="shared" si="103"/>
        <v>0</v>
      </c>
    </row>
    <row r="341" spans="1:14" ht="12.75">
      <c r="A341" s="76" t="s">
        <v>99</v>
      </c>
      <c r="B341" s="53"/>
      <c r="C341" s="8"/>
      <c r="D341" s="8"/>
      <c r="E341" s="54">
        <f t="shared" si="100"/>
        <v>0</v>
      </c>
      <c r="F341" s="53"/>
      <c r="G341" s="106">
        <v>26600</v>
      </c>
      <c r="H341" s="15">
        <f t="shared" si="101"/>
        <v>26600</v>
      </c>
      <c r="I341" s="8"/>
      <c r="J341" s="8"/>
      <c r="K341" s="54">
        <f t="shared" si="102"/>
        <v>26600</v>
      </c>
      <c r="L341" s="53"/>
      <c r="M341" s="8"/>
      <c r="N341" s="54">
        <f t="shared" si="103"/>
        <v>26600</v>
      </c>
    </row>
    <row r="342" spans="1:14" ht="12.75">
      <c r="A342" s="82" t="s">
        <v>83</v>
      </c>
      <c r="B342" s="61">
        <f aca="true" t="shared" si="104" ref="B342:N342">SUM(B344:B347)</f>
        <v>0</v>
      </c>
      <c r="C342" s="13">
        <f t="shared" si="104"/>
        <v>1231.2</v>
      </c>
      <c r="D342" s="13">
        <f t="shared" si="104"/>
        <v>0</v>
      </c>
      <c r="E342" s="62">
        <f t="shared" si="104"/>
        <v>1231.2</v>
      </c>
      <c r="F342" s="61">
        <f t="shared" si="104"/>
        <v>0</v>
      </c>
      <c r="G342" s="127">
        <f t="shared" si="104"/>
        <v>250</v>
      </c>
      <c r="H342" s="168">
        <f t="shared" si="104"/>
        <v>1481.2</v>
      </c>
      <c r="I342" s="13">
        <f t="shared" si="104"/>
        <v>20379.8</v>
      </c>
      <c r="J342" s="13">
        <f t="shared" si="104"/>
        <v>0</v>
      </c>
      <c r="K342" s="62">
        <f t="shared" si="104"/>
        <v>21861</v>
      </c>
      <c r="L342" s="61">
        <f t="shared" si="104"/>
        <v>0</v>
      </c>
      <c r="M342" s="13">
        <f t="shared" si="104"/>
        <v>0</v>
      </c>
      <c r="N342" s="62">
        <f t="shared" si="104"/>
        <v>432.5</v>
      </c>
    </row>
    <row r="343" spans="1:14" ht="12.75">
      <c r="A343" s="78" t="s">
        <v>47</v>
      </c>
      <c r="B343" s="53"/>
      <c r="C343" s="8"/>
      <c r="D343" s="8"/>
      <c r="E343" s="54"/>
      <c r="F343" s="53"/>
      <c r="G343" s="106"/>
      <c r="H343" s="15"/>
      <c r="I343" s="8"/>
      <c r="J343" s="8"/>
      <c r="K343" s="54"/>
      <c r="L343" s="53"/>
      <c r="M343" s="8"/>
      <c r="N343" s="54"/>
    </row>
    <row r="344" spans="1:14" ht="12.75" hidden="1">
      <c r="A344" s="76" t="s">
        <v>155</v>
      </c>
      <c r="B344" s="53"/>
      <c r="C344" s="8"/>
      <c r="D344" s="8"/>
      <c r="E344" s="54">
        <f>B344+C344+D344</f>
        <v>0</v>
      </c>
      <c r="F344" s="53"/>
      <c r="G344" s="106"/>
      <c r="H344" s="15">
        <f>E344+F344+G344</f>
        <v>0</v>
      </c>
      <c r="I344" s="8"/>
      <c r="J344" s="8"/>
      <c r="K344" s="54">
        <f>H344+I344+J344</f>
        <v>0</v>
      </c>
      <c r="L344" s="53"/>
      <c r="M344" s="8"/>
      <c r="N344" s="54">
        <f>K344+L344+M344</f>
        <v>0</v>
      </c>
    </row>
    <row r="345" spans="1:14" ht="12.75">
      <c r="A345" s="76" t="s">
        <v>284</v>
      </c>
      <c r="B345" s="53"/>
      <c r="C345" s="8"/>
      <c r="D345" s="8"/>
      <c r="E345" s="54"/>
      <c r="F345" s="53"/>
      <c r="G345" s="106"/>
      <c r="H345" s="15">
        <f>E345+F345+G345</f>
        <v>0</v>
      </c>
      <c r="I345" s="8">
        <f>12322.1+8057.7</f>
        <v>20379.8</v>
      </c>
      <c r="J345" s="8"/>
      <c r="K345" s="54">
        <f>H345+I345+J345</f>
        <v>20379.8</v>
      </c>
      <c r="L345" s="53"/>
      <c r="M345" s="8"/>
      <c r="N345" s="54"/>
    </row>
    <row r="346" spans="1:14" ht="12.75">
      <c r="A346" s="76" t="s">
        <v>113</v>
      </c>
      <c r="B346" s="53"/>
      <c r="C346" s="8">
        <v>1048.7</v>
      </c>
      <c r="D346" s="8"/>
      <c r="E346" s="54">
        <f>B346+C346+D346</f>
        <v>1048.7</v>
      </c>
      <c r="F346" s="53"/>
      <c r="G346" s="106"/>
      <c r="H346" s="15">
        <f>E346+F346+G346</f>
        <v>1048.7</v>
      </c>
      <c r="I346" s="8"/>
      <c r="J346" s="8"/>
      <c r="K346" s="54">
        <f>H346+I346+J346</f>
        <v>1048.7</v>
      </c>
      <c r="L346" s="53"/>
      <c r="M346" s="8"/>
      <c r="N346" s="54"/>
    </row>
    <row r="347" spans="1:14" ht="12.75">
      <c r="A347" s="79" t="s">
        <v>84</v>
      </c>
      <c r="B347" s="57"/>
      <c r="C347" s="11">
        <v>182.5</v>
      </c>
      <c r="D347" s="11"/>
      <c r="E347" s="58">
        <f>B347+C347+D347</f>
        <v>182.5</v>
      </c>
      <c r="F347" s="57"/>
      <c r="G347" s="17">
        <v>250</v>
      </c>
      <c r="H347" s="169">
        <f>E347+F347+G347</f>
        <v>432.5</v>
      </c>
      <c r="I347" s="11"/>
      <c r="J347" s="11"/>
      <c r="K347" s="58">
        <f>H347+I347+J347</f>
        <v>432.5</v>
      </c>
      <c r="L347" s="53"/>
      <c r="M347" s="8"/>
      <c r="N347" s="54">
        <f>K347+L347+M347</f>
        <v>432.5</v>
      </c>
    </row>
    <row r="348" spans="1:14" ht="12.75">
      <c r="A348" s="77" t="s">
        <v>169</v>
      </c>
      <c r="B348" s="51">
        <f aca="true" t="shared" si="105" ref="B348:N348">B349+B361</f>
        <v>7720</v>
      </c>
      <c r="C348" s="7" t="e">
        <f t="shared" si="105"/>
        <v>#REF!</v>
      </c>
      <c r="D348" s="7" t="e">
        <f t="shared" si="105"/>
        <v>#REF!</v>
      </c>
      <c r="E348" s="52" t="e">
        <f t="shared" si="105"/>
        <v>#REF!</v>
      </c>
      <c r="F348" s="51" t="e">
        <f t="shared" si="105"/>
        <v>#REF!</v>
      </c>
      <c r="G348" s="125" t="e">
        <f t="shared" si="105"/>
        <v>#REF!</v>
      </c>
      <c r="H348" s="166">
        <f t="shared" si="105"/>
        <v>114262.3</v>
      </c>
      <c r="I348" s="7">
        <f t="shared" si="105"/>
        <v>38598.100000000006</v>
      </c>
      <c r="J348" s="7" t="e">
        <f t="shared" si="105"/>
        <v>#REF!</v>
      </c>
      <c r="K348" s="52">
        <f t="shared" si="105"/>
        <v>152860.4</v>
      </c>
      <c r="L348" s="51" t="e">
        <f t="shared" si="105"/>
        <v>#REF!</v>
      </c>
      <c r="M348" s="7" t="e">
        <f t="shared" si="105"/>
        <v>#REF!</v>
      </c>
      <c r="N348" s="52" t="e">
        <f t="shared" si="105"/>
        <v>#REF!</v>
      </c>
    </row>
    <row r="349" spans="1:14" ht="12.75">
      <c r="A349" s="82" t="s">
        <v>77</v>
      </c>
      <c r="B349" s="61">
        <f>SUM(B351:B360)</f>
        <v>5920</v>
      </c>
      <c r="C349" s="13" t="e">
        <f>SUM(C351:C360)-#REF!</f>
        <v>#REF!</v>
      </c>
      <c r="D349" s="13" t="e">
        <f>SUM(D351:D360)-#REF!</f>
        <v>#REF!</v>
      </c>
      <c r="E349" s="62" t="e">
        <f>SUM(E351:E360)-#REF!</f>
        <v>#REF!</v>
      </c>
      <c r="F349" s="61" t="e">
        <f>SUM(F351:F360)-#REF!</f>
        <v>#REF!</v>
      </c>
      <c r="G349" s="127" t="e">
        <f>SUM(G351:G360)-#REF!</f>
        <v>#REF!</v>
      </c>
      <c r="H349" s="168">
        <f>SUM(H351:H360)</f>
        <v>44503.7</v>
      </c>
      <c r="I349" s="13">
        <f>SUM(I351:I360)</f>
        <v>1775.4</v>
      </c>
      <c r="J349" s="13" t="e">
        <f>SUM(J351:J360)-#REF!</f>
        <v>#REF!</v>
      </c>
      <c r="K349" s="62">
        <f>SUM(K351:K360)</f>
        <v>46279.1</v>
      </c>
      <c r="L349" s="61" t="e">
        <f>SUM(L351:L360)-#REF!</f>
        <v>#REF!</v>
      </c>
      <c r="M349" s="13" t="e">
        <f>SUM(M351:M360)-#REF!</f>
        <v>#REF!</v>
      </c>
      <c r="N349" s="62" t="e">
        <f>SUM(N351:N360)-#REF!</f>
        <v>#REF!</v>
      </c>
    </row>
    <row r="350" spans="1:14" ht="12.75">
      <c r="A350" s="78" t="s">
        <v>47</v>
      </c>
      <c r="B350" s="53"/>
      <c r="C350" s="8"/>
      <c r="D350" s="8"/>
      <c r="E350" s="52"/>
      <c r="F350" s="53"/>
      <c r="G350" s="106"/>
      <c r="H350" s="166"/>
      <c r="I350" s="8"/>
      <c r="J350" s="8"/>
      <c r="K350" s="52"/>
      <c r="L350" s="53"/>
      <c r="M350" s="8"/>
      <c r="N350" s="52"/>
    </row>
    <row r="351" spans="1:14" ht="12.75">
      <c r="A351" s="76" t="s">
        <v>80</v>
      </c>
      <c r="B351" s="53">
        <v>5920</v>
      </c>
      <c r="C351" s="8">
        <v>2000</v>
      </c>
      <c r="D351" s="8">
        <v>2000</v>
      </c>
      <c r="E351" s="54">
        <f>B351+C351+D351</f>
        <v>9920</v>
      </c>
      <c r="F351" s="53"/>
      <c r="G351" s="106">
        <f>200+200</f>
        <v>400</v>
      </c>
      <c r="H351" s="15">
        <f>E351+F351+G351</f>
        <v>10320</v>
      </c>
      <c r="I351" s="8"/>
      <c r="J351" s="8"/>
      <c r="K351" s="54">
        <f>H351+I351+J351</f>
        <v>10320</v>
      </c>
      <c r="L351" s="53"/>
      <c r="M351" s="8"/>
      <c r="N351" s="54">
        <f>K351+L351+M351</f>
        <v>10320</v>
      </c>
    </row>
    <row r="352" spans="1:14" ht="12.75" hidden="1">
      <c r="A352" s="76" t="s">
        <v>170</v>
      </c>
      <c r="B352" s="53"/>
      <c r="C352" s="8"/>
      <c r="D352" s="8"/>
      <c r="E352" s="54">
        <f aca="true" t="shared" si="106" ref="E352:E360">B352+C352+D352</f>
        <v>0</v>
      </c>
      <c r="F352" s="53"/>
      <c r="G352" s="106"/>
      <c r="H352" s="15">
        <f aca="true" t="shared" si="107" ref="H352:H360">E352+F352+G352</f>
        <v>0</v>
      </c>
      <c r="I352" s="8"/>
      <c r="J352" s="8"/>
      <c r="K352" s="54">
        <f aca="true" t="shared" si="108" ref="K352:K360">H352+I352+J352</f>
        <v>0</v>
      </c>
      <c r="L352" s="53"/>
      <c r="M352" s="8"/>
      <c r="N352" s="54">
        <f aca="true" t="shared" si="109" ref="N352:N360">K352+L352+M352</f>
        <v>0</v>
      </c>
    </row>
    <row r="353" spans="1:14" ht="12.75">
      <c r="A353" s="76" t="s">
        <v>171</v>
      </c>
      <c r="B353" s="53"/>
      <c r="C353" s="8">
        <v>150</v>
      </c>
      <c r="D353" s="8"/>
      <c r="E353" s="54">
        <f t="shared" si="106"/>
        <v>150</v>
      </c>
      <c r="F353" s="53"/>
      <c r="G353" s="106"/>
      <c r="H353" s="15">
        <f t="shared" si="107"/>
        <v>150</v>
      </c>
      <c r="I353" s="8"/>
      <c r="J353" s="8"/>
      <c r="K353" s="54">
        <f t="shared" si="108"/>
        <v>150</v>
      </c>
      <c r="L353" s="53"/>
      <c r="M353" s="8"/>
      <c r="N353" s="54">
        <f t="shared" si="109"/>
        <v>150</v>
      </c>
    </row>
    <row r="354" spans="1:14" ht="12.75">
      <c r="A354" s="76" t="s">
        <v>281</v>
      </c>
      <c r="B354" s="53"/>
      <c r="C354" s="8"/>
      <c r="D354" s="8"/>
      <c r="E354" s="54"/>
      <c r="F354" s="53"/>
      <c r="G354" s="106"/>
      <c r="H354" s="15">
        <f t="shared" si="107"/>
        <v>0</v>
      </c>
      <c r="I354" s="8">
        <f>751.9+23.5</f>
        <v>775.4</v>
      </c>
      <c r="J354" s="8"/>
      <c r="K354" s="54">
        <f t="shared" si="108"/>
        <v>775.4</v>
      </c>
      <c r="L354" s="53"/>
      <c r="M354" s="8"/>
      <c r="N354" s="54"/>
    </row>
    <row r="355" spans="1:14" ht="12.75">
      <c r="A355" s="76" t="s">
        <v>113</v>
      </c>
      <c r="B355" s="53"/>
      <c r="C355" s="8">
        <f>44.6+170.4+215.7+740</f>
        <v>1170.7</v>
      </c>
      <c r="D355" s="8"/>
      <c r="E355" s="54">
        <f t="shared" si="106"/>
        <v>1170.7</v>
      </c>
      <c r="F355" s="53"/>
      <c r="G355" s="106">
        <v>21</v>
      </c>
      <c r="H355" s="15">
        <f t="shared" si="107"/>
        <v>1191.7</v>
      </c>
      <c r="I355" s="8"/>
      <c r="J355" s="8"/>
      <c r="K355" s="54">
        <f t="shared" si="108"/>
        <v>1191.7</v>
      </c>
      <c r="L355" s="53"/>
      <c r="M355" s="8"/>
      <c r="N355" s="54"/>
    </row>
    <row r="356" spans="1:14" ht="12.75">
      <c r="A356" s="76" t="s">
        <v>128</v>
      </c>
      <c r="B356" s="53"/>
      <c r="C356" s="8"/>
      <c r="D356" s="8">
        <v>16500</v>
      </c>
      <c r="E356" s="54">
        <f t="shared" si="106"/>
        <v>16500</v>
      </c>
      <c r="F356" s="53">
        <v>8500</v>
      </c>
      <c r="G356" s="106"/>
      <c r="H356" s="15">
        <f t="shared" si="107"/>
        <v>25000</v>
      </c>
      <c r="I356" s="8">
        <v>1000</v>
      </c>
      <c r="J356" s="8"/>
      <c r="K356" s="54">
        <f t="shared" si="108"/>
        <v>26000</v>
      </c>
      <c r="L356" s="53"/>
      <c r="M356" s="8"/>
      <c r="N356" s="54">
        <f t="shared" si="109"/>
        <v>26000</v>
      </c>
    </row>
    <row r="357" spans="1:14" ht="12.75" hidden="1">
      <c r="A357" s="76" t="s">
        <v>95</v>
      </c>
      <c r="B357" s="53"/>
      <c r="C357" s="8"/>
      <c r="D357" s="8"/>
      <c r="E357" s="54">
        <f t="shared" si="106"/>
        <v>0</v>
      </c>
      <c r="F357" s="53"/>
      <c r="G357" s="106"/>
      <c r="H357" s="15">
        <f t="shared" si="107"/>
        <v>0</v>
      </c>
      <c r="I357" s="10"/>
      <c r="J357" s="8"/>
      <c r="K357" s="54">
        <f t="shared" si="108"/>
        <v>0</v>
      </c>
      <c r="L357" s="53"/>
      <c r="M357" s="8"/>
      <c r="N357" s="54">
        <f t="shared" si="109"/>
        <v>0</v>
      </c>
    </row>
    <row r="358" spans="1:14" ht="12.75" hidden="1">
      <c r="A358" s="76" t="s">
        <v>96</v>
      </c>
      <c r="B358" s="53"/>
      <c r="C358" s="8"/>
      <c r="D358" s="8"/>
      <c r="E358" s="54">
        <f t="shared" si="106"/>
        <v>0</v>
      </c>
      <c r="F358" s="53"/>
      <c r="G358" s="106"/>
      <c r="H358" s="15">
        <f t="shared" si="107"/>
        <v>0</v>
      </c>
      <c r="I358" s="10"/>
      <c r="J358" s="8"/>
      <c r="K358" s="54">
        <f t="shared" si="108"/>
        <v>0</v>
      </c>
      <c r="L358" s="53"/>
      <c r="M358" s="8"/>
      <c r="N358" s="54">
        <f t="shared" si="109"/>
        <v>0</v>
      </c>
    </row>
    <row r="359" spans="1:14" ht="12.75">
      <c r="A359" s="79" t="s">
        <v>172</v>
      </c>
      <c r="B359" s="57"/>
      <c r="C359" s="11"/>
      <c r="D359" s="11"/>
      <c r="E359" s="58">
        <f t="shared" si="106"/>
        <v>0</v>
      </c>
      <c r="F359" s="57">
        <v>7842</v>
      </c>
      <c r="G359" s="17"/>
      <c r="H359" s="169">
        <f t="shared" si="107"/>
        <v>7842</v>
      </c>
      <c r="I359" s="11"/>
      <c r="J359" s="11"/>
      <c r="K359" s="58">
        <f t="shared" si="108"/>
        <v>7842</v>
      </c>
      <c r="L359" s="53"/>
      <c r="M359" s="8"/>
      <c r="N359" s="54">
        <f t="shared" si="109"/>
        <v>7842</v>
      </c>
    </row>
    <row r="360" spans="1:14" ht="12.75" hidden="1">
      <c r="A360" s="76" t="s">
        <v>99</v>
      </c>
      <c r="B360" s="53"/>
      <c r="C360" s="8"/>
      <c r="D360" s="8"/>
      <c r="E360" s="54">
        <f t="shared" si="106"/>
        <v>0</v>
      </c>
      <c r="F360" s="53"/>
      <c r="G360" s="106"/>
      <c r="H360" s="15">
        <f t="shared" si="107"/>
        <v>0</v>
      </c>
      <c r="I360" s="8"/>
      <c r="J360" s="8"/>
      <c r="K360" s="54">
        <f t="shared" si="108"/>
        <v>0</v>
      </c>
      <c r="L360" s="53"/>
      <c r="M360" s="8"/>
      <c r="N360" s="54">
        <f t="shared" si="109"/>
        <v>0</v>
      </c>
    </row>
    <row r="361" spans="1:14" ht="12.75">
      <c r="A361" s="82" t="s">
        <v>83</v>
      </c>
      <c r="B361" s="61">
        <f aca="true" t="shared" si="110" ref="B361:N361">SUM(B363:B370)</f>
        <v>1800</v>
      </c>
      <c r="C361" s="13">
        <f t="shared" si="110"/>
        <v>5746.7</v>
      </c>
      <c r="D361" s="13">
        <f t="shared" si="110"/>
        <v>6500</v>
      </c>
      <c r="E361" s="62">
        <f t="shared" si="110"/>
        <v>14046.7</v>
      </c>
      <c r="F361" s="61">
        <f t="shared" si="110"/>
        <v>55732.9</v>
      </c>
      <c r="G361" s="127">
        <f t="shared" si="110"/>
        <v>-21</v>
      </c>
      <c r="H361" s="168">
        <f t="shared" si="110"/>
        <v>69758.6</v>
      </c>
      <c r="I361" s="13">
        <f t="shared" si="110"/>
        <v>36822.700000000004</v>
      </c>
      <c r="J361" s="13">
        <f t="shared" si="110"/>
        <v>0</v>
      </c>
      <c r="K361" s="62">
        <f t="shared" si="110"/>
        <v>106581.3</v>
      </c>
      <c r="L361" s="61">
        <f t="shared" si="110"/>
        <v>0</v>
      </c>
      <c r="M361" s="13">
        <f t="shared" si="110"/>
        <v>0</v>
      </c>
      <c r="N361" s="62">
        <f t="shared" si="110"/>
        <v>26750</v>
      </c>
    </row>
    <row r="362" spans="1:14" ht="12.75">
      <c r="A362" s="78" t="s">
        <v>47</v>
      </c>
      <c r="B362" s="53"/>
      <c r="C362" s="8"/>
      <c r="D362" s="8"/>
      <c r="E362" s="54"/>
      <c r="F362" s="53"/>
      <c r="G362" s="106"/>
      <c r="H362" s="15"/>
      <c r="I362" s="8"/>
      <c r="J362" s="8"/>
      <c r="K362" s="54"/>
      <c r="L362" s="53"/>
      <c r="M362" s="8"/>
      <c r="N362" s="54"/>
    </row>
    <row r="363" spans="1:14" ht="12.75">
      <c r="A363" s="80" t="s">
        <v>102</v>
      </c>
      <c r="B363" s="53"/>
      <c r="C363" s="8">
        <v>2000</v>
      </c>
      <c r="D363" s="8">
        <v>-2000</v>
      </c>
      <c r="E363" s="54">
        <f aca="true" t="shared" si="111" ref="E363:E370">B363+C363+D363</f>
        <v>0</v>
      </c>
      <c r="F363" s="53"/>
      <c r="G363" s="106"/>
      <c r="H363" s="15">
        <f aca="true" t="shared" si="112" ref="H363:H370">E363+F363+G363</f>
        <v>0</v>
      </c>
      <c r="I363" s="8">
        <f>2800+2000+650</f>
        <v>5450</v>
      </c>
      <c r="J363" s="8"/>
      <c r="K363" s="54">
        <f aca="true" t="shared" si="113" ref="K363:K370">H363+I363+J363</f>
        <v>5450</v>
      </c>
      <c r="L363" s="53"/>
      <c r="M363" s="8"/>
      <c r="N363" s="54">
        <f aca="true" t="shared" si="114" ref="N363:N370">K363+L363+M363</f>
        <v>5450</v>
      </c>
    </row>
    <row r="364" spans="1:14" ht="12.75">
      <c r="A364" s="121" t="s">
        <v>254</v>
      </c>
      <c r="B364" s="53"/>
      <c r="C364" s="8"/>
      <c r="D364" s="8"/>
      <c r="E364" s="54">
        <f t="shared" si="111"/>
        <v>0</v>
      </c>
      <c r="F364" s="53">
        <v>2000</v>
      </c>
      <c r="G364" s="106"/>
      <c r="H364" s="15">
        <f t="shared" si="112"/>
        <v>2000</v>
      </c>
      <c r="I364" s="8"/>
      <c r="J364" s="8"/>
      <c r="K364" s="54">
        <f t="shared" si="113"/>
        <v>2000</v>
      </c>
      <c r="L364" s="53"/>
      <c r="M364" s="8"/>
      <c r="N364" s="54"/>
    </row>
    <row r="365" spans="1:14" ht="12.75">
      <c r="A365" s="76" t="s">
        <v>128</v>
      </c>
      <c r="B365" s="53"/>
      <c r="C365" s="8"/>
      <c r="D365" s="8">
        <v>8500</v>
      </c>
      <c r="E365" s="54">
        <f t="shared" si="111"/>
        <v>8500</v>
      </c>
      <c r="F365" s="53">
        <v>11000</v>
      </c>
      <c r="G365" s="106"/>
      <c r="H365" s="15">
        <f t="shared" si="112"/>
        <v>19500</v>
      </c>
      <c r="I365" s="8"/>
      <c r="J365" s="8"/>
      <c r="K365" s="54">
        <f t="shared" si="113"/>
        <v>19500</v>
      </c>
      <c r="L365" s="53"/>
      <c r="M365" s="8"/>
      <c r="N365" s="54">
        <f t="shared" si="114"/>
        <v>19500</v>
      </c>
    </row>
    <row r="366" spans="1:14" ht="12.75">
      <c r="A366" s="76" t="s">
        <v>84</v>
      </c>
      <c r="B366" s="53">
        <v>600</v>
      </c>
      <c r="C366" s="8"/>
      <c r="D366" s="8"/>
      <c r="E366" s="54">
        <f t="shared" si="111"/>
        <v>600</v>
      </c>
      <c r="F366" s="53"/>
      <c r="G366" s="106"/>
      <c r="H366" s="15">
        <f t="shared" si="112"/>
        <v>600</v>
      </c>
      <c r="I366" s="8"/>
      <c r="J366" s="8"/>
      <c r="K366" s="54">
        <f t="shared" si="113"/>
        <v>600</v>
      </c>
      <c r="L366" s="53"/>
      <c r="M366" s="8"/>
      <c r="N366" s="54">
        <f t="shared" si="114"/>
        <v>600</v>
      </c>
    </row>
    <row r="367" spans="1:14" ht="12.75">
      <c r="A367" s="76" t="s">
        <v>261</v>
      </c>
      <c r="B367" s="53"/>
      <c r="C367" s="8"/>
      <c r="D367" s="8"/>
      <c r="E367" s="54">
        <f t="shared" si="111"/>
        <v>0</v>
      </c>
      <c r="F367" s="53">
        <f>39351.3+3381.6</f>
        <v>42732.9</v>
      </c>
      <c r="G367" s="106"/>
      <c r="H367" s="15">
        <f t="shared" si="112"/>
        <v>42732.9</v>
      </c>
      <c r="I367" s="8">
        <f>9478.2+14952.1+6942.4</f>
        <v>31372.700000000004</v>
      </c>
      <c r="J367" s="8"/>
      <c r="K367" s="54">
        <f t="shared" si="113"/>
        <v>74105.6</v>
      </c>
      <c r="L367" s="53"/>
      <c r="M367" s="8"/>
      <c r="N367" s="54"/>
    </row>
    <row r="368" spans="1:14" ht="12.75">
      <c r="A368" s="76" t="s">
        <v>113</v>
      </c>
      <c r="B368" s="53"/>
      <c r="C368" s="8">
        <f>500+3246.7</f>
        <v>3746.7</v>
      </c>
      <c r="D368" s="8"/>
      <c r="E368" s="54">
        <f t="shared" si="111"/>
        <v>3746.7</v>
      </c>
      <c r="F368" s="53"/>
      <c r="G368" s="106">
        <v>-21</v>
      </c>
      <c r="H368" s="15">
        <f t="shared" si="112"/>
        <v>3725.7</v>
      </c>
      <c r="I368" s="8"/>
      <c r="J368" s="8"/>
      <c r="K368" s="54">
        <f t="shared" si="113"/>
        <v>3725.7</v>
      </c>
      <c r="L368" s="53"/>
      <c r="M368" s="8"/>
      <c r="N368" s="54"/>
    </row>
    <row r="369" spans="1:14" ht="12.75" hidden="1">
      <c r="A369" s="76" t="s">
        <v>99</v>
      </c>
      <c r="B369" s="53"/>
      <c r="C369" s="8"/>
      <c r="D369" s="8"/>
      <c r="E369" s="54">
        <f t="shared" si="111"/>
        <v>0</v>
      </c>
      <c r="F369" s="53"/>
      <c r="G369" s="106"/>
      <c r="H369" s="15">
        <f t="shared" si="112"/>
        <v>0</v>
      </c>
      <c r="I369" s="8"/>
      <c r="J369" s="8"/>
      <c r="K369" s="54">
        <f t="shared" si="113"/>
        <v>0</v>
      </c>
      <c r="L369" s="53"/>
      <c r="M369" s="8"/>
      <c r="N369" s="54">
        <f t="shared" si="114"/>
        <v>0</v>
      </c>
    </row>
    <row r="370" spans="1:14" ht="12.75">
      <c r="A370" s="86" t="s">
        <v>222</v>
      </c>
      <c r="B370" s="57">
        <v>1200</v>
      </c>
      <c r="C370" s="11"/>
      <c r="D370" s="11"/>
      <c r="E370" s="58">
        <f t="shared" si="111"/>
        <v>1200</v>
      </c>
      <c r="F370" s="57"/>
      <c r="G370" s="17"/>
      <c r="H370" s="169">
        <f t="shared" si="112"/>
        <v>1200</v>
      </c>
      <c r="I370" s="11"/>
      <c r="J370" s="11"/>
      <c r="K370" s="58">
        <f t="shared" si="113"/>
        <v>1200</v>
      </c>
      <c r="L370" s="53"/>
      <c r="M370" s="8"/>
      <c r="N370" s="54">
        <f t="shared" si="114"/>
        <v>1200</v>
      </c>
    </row>
    <row r="371" spans="1:14" ht="12.75">
      <c r="A371" s="73" t="s">
        <v>173</v>
      </c>
      <c r="B371" s="51">
        <f aca="true" t="shared" si="115" ref="B371:N371">B372+B375</f>
        <v>5505.299999999999</v>
      </c>
      <c r="C371" s="7">
        <f t="shared" si="115"/>
        <v>0</v>
      </c>
      <c r="D371" s="7">
        <f t="shared" si="115"/>
        <v>0</v>
      </c>
      <c r="E371" s="52">
        <f t="shared" si="115"/>
        <v>5505.299999999999</v>
      </c>
      <c r="F371" s="51">
        <f t="shared" si="115"/>
        <v>0</v>
      </c>
      <c r="G371" s="125">
        <f t="shared" si="115"/>
        <v>0</v>
      </c>
      <c r="H371" s="166">
        <f t="shared" si="115"/>
        <v>5505.299999999999</v>
      </c>
      <c r="I371" s="7">
        <f t="shared" si="115"/>
        <v>0</v>
      </c>
      <c r="J371" s="7">
        <f t="shared" si="115"/>
        <v>0</v>
      </c>
      <c r="K371" s="52">
        <f t="shared" si="115"/>
        <v>5505.299999999999</v>
      </c>
      <c r="L371" s="51">
        <f t="shared" si="115"/>
        <v>0</v>
      </c>
      <c r="M371" s="7">
        <f t="shared" si="115"/>
        <v>0</v>
      </c>
      <c r="N371" s="52">
        <f t="shared" si="115"/>
        <v>5505.299999999999</v>
      </c>
    </row>
    <row r="372" spans="1:14" ht="12.75">
      <c r="A372" s="82" t="s">
        <v>77</v>
      </c>
      <c r="B372" s="61">
        <f>SUM(B374:B374)</f>
        <v>4838.9</v>
      </c>
      <c r="C372" s="13">
        <f aca="true" t="shared" si="116" ref="C372:N372">SUM(C374:C374)</f>
        <v>0</v>
      </c>
      <c r="D372" s="13">
        <f t="shared" si="116"/>
        <v>0</v>
      </c>
      <c r="E372" s="62">
        <f t="shared" si="116"/>
        <v>4838.9</v>
      </c>
      <c r="F372" s="61">
        <f t="shared" si="116"/>
        <v>0</v>
      </c>
      <c r="G372" s="127">
        <f t="shared" si="116"/>
        <v>-5.6</v>
      </c>
      <c r="H372" s="168">
        <f t="shared" si="116"/>
        <v>4833.299999999999</v>
      </c>
      <c r="I372" s="13">
        <f t="shared" si="116"/>
        <v>0</v>
      </c>
      <c r="J372" s="13">
        <f t="shared" si="116"/>
        <v>0</v>
      </c>
      <c r="K372" s="62">
        <f t="shared" si="116"/>
        <v>4833.299999999999</v>
      </c>
      <c r="L372" s="61">
        <f t="shared" si="116"/>
        <v>0</v>
      </c>
      <c r="M372" s="13">
        <f t="shared" si="116"/>
        <v>0</v>
      </c>
      <c r="N372" s="62">
        <f t="shared" si="116"/>
        <v>4833.299999999999</v>
      </c>
    </row>
    <row r="373" spans="1:14" ht="12.75">
      <c r="A373" s="78" t="s">
        <v>47</v>
      </c>
      <c r="B373" s="53"/>
      <c r="C373" s="8"/>
      <c r="D373" s="8"/>
      <c r="E373" s="52"/>
      <c r="F373" s="53"/>
      <c r="G373" s="106"/>
      <c r="H373" s="166"/>
      <c r="I373" s="8"/>
      <c r="J373" s="8"/>
      <c r="K373" s="52"/>
      <c r="L373" s="53"/>
      <c r="M373" s="8"/>
      <c r="N373" s="52"/>
    </row>
    <row r="374" spans="1:14" ht="12.75">
      <c r="A374" s="76" t="s">
        <v>80</v>
      </c>
      <c r="B374" s="71">
        <v>4838.9</v>
      </c>
      <c r="C374" s="8"/>
      <c r="D374" s="8"/>
      <c r="E374" s="54">
        <f>B374+C374+D374</f>
        <v>4838.9</v>
      </c>
      <c r="F374" s="53"/>
      <c r="G374" s="106">
        <v>-5.6</v>
      </c>
      <c r="H374" s="15">
        <f>E374+F374+G374</f>
        <v>4833.299999999999</v>
      </c>
      <c r="I374" s="8"/>
      <c r="J374" s="8"/>
      <c r="K374" s="54">
        <f>H374+I374+J374</f>
        <v>4833.299999999999</v>
      </c>
      <c r="L374" s="53"/>
      <c r="M374" s="8"/>
      <c r="N374" s="54">
        <f>K374+L374+M374</f>
        <v>4833.299999999999</v>
      </c>
    </row>
    <row r="375" spans="1:14" ht="12.75">
      <c r="A375" s="82" t="s">
        <v>83</v>
      </c>
      <c r="B375" s="61">
        <f aca="true" t="shared" si="117" ref="B375:N375">SUM(B377:B377)</f>
        <v>666.4</v>
      </c>
      <c r="C375" s="13">
        <f t="shared" si="117"/>
        <v>0</v>
      </c>
      <c r="D375" s="13">
        <f t="shared" si="117"/>
        <v>0</v>
      </c>
      <c r="E375" s="62">
        <f t="shared" si="117"/>
        <v>666.4</v>
      </c>
      <c r="F375" s="61">
        <f t="shared" si="117"/>
        <v>0</v>
      </c>
      <c r="G375" s="127">
        <f t="shared" si="117"/>
        <v>5.6</v>
      </c>
      <c r="H375" s="168">
        <f t="shared" si="117"/>
        <v>672</v>
      </c>
      <c r="I375" s="13">
        <f t="shared" si="117"/>
        <v>0</v>
      </c>
      <c r="J375" s="13">
        <f t="shared" si="117"/>
        <v>0</v>
      </c>
      <c r="K375" s="62">
        <f t="shared" si="117"/>
        <v>672</v>
      </c>
      <c r="L375" s="61">
        <f t="shared" si="117"/>
        <v>0</v>
      </c>
      <c r="M375" s="13">
        <f t="shared" si="117"/>
        <v>0</v>
      </c>
      <c r="N375" s="62">
        <f t="shared" si="117"/>
        <v>672</v>
      </c>
    </row>
    <row r="376" spans="1:14" ht="12.75">
      <c r="A376" s="78" t="s">
        <v>47</v>
      </c>
      <c r="B376" s="53"/>
      <c r="C376" s="8"/>
      <c r="D376" s="8"/>
      <c r="E376" s="54"/>
      <c r="F376" s="53"/>
      <c r="G376" s="106"/>
      <c r="H376" s="15"/>
      <c r="I376" s="8"/>
      <c r="J376" s="8"/>
      <c r="K376" s="54"/>
      <c r="L376" s="53"/>
      <c r="M376" s="8"/>
      <c r="N376" s="54"/>
    </row>
    <row r="377" spans="1:14" ht="12.75">
      <c r="A377" s="79" t="s">
        <v>84</v>
      </c>
      <c r="B377" s="57">
        <v>666.4</v>
      </c>
      <c r="C377" s="11"/>
      <c r="D377" s="11"/>
      <c r="E377" s="58">
        <f>B377+C377+D377</f>
        <v>666.4</v>
      </c>
      <c r="F377" s="57"/>
      <c r="G377" s="17">
        <v>5.6</v>
      </c>
      <c r="H377" s="169">
        <f>E377+F377+G377</f>
        <v>672</v>
      </c>
      <c r="I377" s="11"/>
      <c r="J377" s="11"/>
      <c r="K377" s="58">
        <f>H377+I377+J377</f>
        <v>672</v>
      </c>
      <c r="L377" s="53"/>
      <c r="M377" s="8"/>
      <c r="N377" s="54">
        <f>K377+L377+M377</f>
        <v>672</v>
      </c>
    </row>
    <row r="378" spans="1:14" ht="12.75">
      <c r="A378" s="73" t="s">
        <v>174</v>
      </c>
      <c r="B378" s="51">
        <f aca="true" t="shared" si="118" ref="B378:N378">B379</f>
        <v>168000</v>
      </c>
      <c r="C378" s="7">
        <f t="shared" si="118"/>
        <v>-95000</v>
      </c>
      <c r="D378" s="7">
        <f t="shared" si="118"/>
        <v>0</v>
      </c>
      <c r="E378" s="52">
        <f t="shared" si="118"/>
        <v>73000</v>
      </c>
      <c r="F378" s="51">
        <f t="shared" si="118"/>
        <v>41022.3</v>
      </c>
      <c r="G378" s="125">
        <f t="shared" si="118"/>
        <v>22182.4</v>
      </c>
      <c r="H378" s="166">
        <f t="shared" si="118"/>
        <v>136204.7</v>
      </c>
      <c r="I378" s="7">
        <f t="shared" si="118"/>
        <v>-19000</v>
      </c>
      <c r="J378" s="7">
        <f t="shared" si="118"/>
        <v>0</v>
      </c>
      <c r="K378" s="52">
        <f t="shared" si="118"/>
        <v>117204.70000000001</v>
      </c>
      <c r="L378" s="51">
        <f t="shared" si="118"/>
        <v>0</v>
      </c>
      <c r="M378" s="7">
        <f t="shared" si="118"/>
        <v>0</v>
      </c>
      <c r="N378" s="52">
        <f t="shared" si="118"/>
        <v>117204.70000000001</v>
      </c>
    </row>
    <row r="379" spans="1:14" ht="12.75">
      <c r="A379" s="82" t="s">
        <v>77</v>
      </c>
      <c r="B379" s="61">
        <f>SUM(B381:B384)</f>
        <v>168000</v>
      </c>
      <c r="C379" s="13">
        <f aca="true" t="shared" si="119" ref="C379:N379">SUM(C381:C384)</f>
        <v>-95000</v>
      </c>
      <c r="D379" s="13">
        <f t="shared" si="119"/>
        <v>0</v>
      </c>
      <c r="E379" s="62">
        <f t="shared" si="119"/>
        <v>73000</v>
      </c>
      <c r="F379" s="61">
        <f t="shared" si="119"/>
        <v>41022.3</v>
      </c>
      <c r="G379" s="127">
        <f t="shared" si="119"/>
        <v>22182.4</v>
      </c>
      <c r="H379" s="168">
        <f t="shared" si="119"/>
        <v>136204.7</v>
      </c>
      <c r="I379" s="13">
        <f t="shared" si="119"/>
        <v>-19000</v>
      </c>
      <c r="J379" s="13">
        <f t="shared" si="119"/>
        <v>0</v>
      </c>
      <c r="K379" s="62">
        <f t="shared" si="119"/>
        <v>117204.70000000001</v>
      </c>
      <c r="L379" s="61">
        <f t="shared" si="119"/>
        <v>0</v>
      </c>
      <c r="M379" s="13">
        <f t="shared" si="119"/>
        <v>0</v>
      </c>
      <c r="N379" s="62">
        <f t="shared" si="119"/>
        <v>117204.70000000001</v>
      </c>
    </row>
    <row r="380" spans="1:14" ht="12.75">
      <c r="A380" s="78" t="s">
        <v>47</v>
      </c>
      <c r="B380" s="51"/>
      <c r="C380" s="7"/>
      <c r="D380" s="7"/>
      <c r="E380" s="52"/>
      <c r="F380" s="51"/>
      <c r="G380" s="125"/>
      <c r="H380" s="166"/>
      <c r="I380" s="7"/>
      <c r="J380" s="7"/>
      <c r="K380" s="52"/>
      <c r="L380" s="51"/>
      <c r="M380" s="7"/>
      <c r="N380" s="52"/>
    </row>
    <row r="381" spans="1:14" ht="12.75">
      <c r="A381" s="85" t="s">
        <v>175</v>
      </c>
      <c r="B381" s="53">
        <v>98000</v>
      </c>
      <c r="C381" s="8">
        <f>-62504-32496</f>
        <v>-95000</v>
      </c>
      <c r="D381" s="8"/>
      <c r="E381" s="54">
        <f>B381+C381+D381</f>
        <v>3000</v>
      </c>
      <c r="F381" s="53">
        <f>-150-360-2215+3000</f>
        <v>275</v>
      </c>
      <c r="G381" s="106">
        <f>15000-2000-580-200-200+4620</f>
        <v>16640</v>
      </c>
      <c r="H381" s="15">
        <f>E381+F381+G381</f>
        <v>19915</v>
      </c>
      <c r="I381" s="10">
        <v>-19000</v>
      </c>
      <c r="J381" s="8"/>
      <c r="K381" s="54">
        <f>H381+I381+J381</f>
        <v>915</v>
      </c>
      <c r="L381" s="53"/>
      <c r="M381" s="8"/>
      <c r="N381" s="54">
        <f>K381+L381+M381</f>
        <v>915</v>
      </c>
    </row>
    <row r="382" spans="1:14" ht="12.75">
      <c r="A382" s="85" t="s">
        <v>176</v>
      </c>
      <c r="B382" s="53"/>
      <c r="C382" s="8"/>
      <c r="D382" s="8"/>
      <c r="E382" s="54">
        <f>B382+C382+D382</f>
        <v>0</v>
      </c>
      <c r="F382" s="53">
        <v>40747.3</v>
      </c>
      <c r="G382" s="106"/>
      <c r="H382" s="15">
        <f>E382+F382+G382</f>
        <v>40747.3</v>
      </c>
      <c r="I382" s="8"/>
      <c r="J382" s="8"/>
      <c r="K382" s="54">
        <f>H382+I382+J382</f>
        <v>40747.3</v>
      </c>
      <c r="L382" s="53"/>
      <c r="M382" s="8"/>
      <c r="N382" s="54">
        <f>K382+L382+M382</f>
        <v>40747.3</v>
      </c>
    </row>
    <row r="383" spans="1:14" ht="12.75">
      <c r="A383" s="85" t="s">
        <v>177</v>
      </c>
      <c r="B383" s="53"/>
      <c r="C383" s="8"/>
      <c r="D383" s="8"/>
      <c r="E383" s="54">
        <f>B383+C383+D383</f>
        <v>0</v>
      </c>
      <c r="F383" s="53"/>
      <c r="G383" s="106">
        <v>5542.4</v>
      </c>
      <c r="H383" s="15">
        <f>E383+F383+G383</f>
        <v>5542.4</v>
      </c>
      <c r="I383" s="8"/>
      <c r="J383" s="8"/>
      <c r="K383" s="54">
        <f>H383+I383+J383</f>
        <v>5542.4</v>
      </c>
      <c r="L383" s="53"/>
      <c r="M383" s="8"/>
      <c r="N383" s="54">
        <f>K383+L383+M383</f>
        <v>5542.4</v>
      </c>
    </row>
    <row r="384" spans="1:14" ht="12.75">
      <c r="A384" s="79" t="s">
        <v>80</v>
      </c>
      <c r="B384" s="57">
        <v>70000</v>
      </c>
      <c r="C384" s="11"/>
      <c r="D384" s="11"/>
      <c r="E384" s="58">
        <f>B384+C384+D384</f>
        <v>70000</v>
      </c>
      <c r="F384" s="57"/>
      <c r="G384" s="17"/>
      <c r="H384" s="169">
        <f>E384+F384+G384</f>
        <v>70000</v>
      </c>
      <c r="I384" s="11"/>
      <c r="J384" s="11"/>
      <c r="K384" s="58">
        <f>H384+I384+J384</f>
        <v>70000</v>
      </c>
      <c r="L384" s="57"/>
      <c r="M384" s="11"/>
      <c r="N384" s="58">
        <f>K384+L384+M384</f>
        <v>70000</v>
      </c>
    </row>
    <row r="385" spans="1:14" ht="12.75">
      <c r="A385" s="73" t="s">
        <v>271</v>
      </c>
      <c r="B385" s="51">
        <f>B386+B389</f>
        <v>0</v>
      </c>
      <c r="C385" s="51">
        <f aca="true" t="shared" si="120" ref="C385:K385">C386+C389</f>
        <v>0</v>
      </c>
      <c r="D385" s="51">
        <f t="shared" si="120"/>
        <v>0</v>
      </c>
      <c r="E385" s="51">
        <f t="shared" si="120"/>
        <v>0</v>
      </c>
      <c r="F385" s="51">
        <f t="shared" si="120"/>
        <v>0</v>
      </c>
      <c r="G385" s="140">
        <f t="shared" si="120"/>
        <v>5.6</v>
      </c>
      <c r="H385" s="173">
        <f t="shared" si="120"/>
        <v>0</v>
      </c>
      <c r="I385" s="7">
        <f t="shared" si="120"/>
        <v>1500</v>
      </c>
      <c r="J385" s="149">
        <f t="shared" si="120"/>
        <v>0</v>
      </c>
      <c r="K385" s="150">
        <f t="shared" si="120"/>
        <v>1500</v>
      </c>
      <c r="L385" s="53"/>
      <c r="M385" s="8"/>
      <c r="N385" s="54"/>
    </row>
    <row r="386" spans="1:14" ht="12.75">
      <c r="A386" s="82" t="s">
        <v>77</v>
      </c>
      <c r="B386" s="61">
        <f aca="true" t="shared" si="121" ref="B386:K386">SUM(B388:B388)</f>
        <v>0</v>
      </c>
      <c r="C386" s="61">
        <f t="shared" si="121"/>
        <v>0</v>
      </c>
      <c r="D386" s="61">
        <f t="shared" si="121"/>
        <v>0</v>
      </c>
      <c r="E386" s="61">
        <f t="shared" si="121"/>
        <v>0</v>
      </c>
      <c r="F386" s="61">
        <f t="shared" si="121"/>
        <v>0</v>
      </c>
      <c r="G386" s="148">
        <f t="shared" si="121"/>
        <v>0</v>
      </c>
      <c r="H386" s="168">
        <f t="shared" si="121"/>
        <v>0</v>
      </c>
      <c r="I386" s="13">
        <f t="shared" si="121"/>
        <v>1500</v>
      </c>
      <c r="J386" s="13">
        <f t="shared" si="121"/>
        <v>0</v>
      </c>
      <c r="K386" s="62">
        <f t="shared" si="121"/>
        <v>1500</v>
      </c>
      <c r="L386" s="53"/>
      <c r="M386" s="8"/>
      <c r="N386" s="54"/>
    </row>
    <row r="387" spans="1:14" ht="12.75">
      <c r="A387" s="78" t="s">
        <v>47</v>
      </c>
      <c r="B387" s="53"/>
      <c r="C387" s="8"/>
      <c r="D387" s="8"/>
      <c r="E387" s="54"/>
      <c r="F387" s="53"/>
      <c r="G387" s="129"/>
      <c r="H387" s="15"/>
      <c r="I387" s="8"/>
      <c r="J387" s="8"/>
      <c r="K387" s="54"/>
      <c r="L387" s="53"/>
      <c r="M387" s="8"/>
      <c r="N387" s="54"/>
    </row>
    <row r="388" spans="1:14" ht="12.75">
      <c r="A388" s="79" t="s">
        <v>80</v>
      </c>
      <c r="B388" s="57"/>
      <c r="C388" s="11"/>
      <c r="D388" s="11"/>
      <c r="E388" s="58"/>
      <c r="F388" s="57"/>
      <c r="G388" s="151"/>
      <c r="H388" s="169"/>
      <c r="I388" s="11">
        <v>1500</v>
      </c>
      <c r="J388" s="11"/>
      <c r="K388" s="58">
        <f>H388+I388+J388</f>
        <v>1500</v>
      </c>
      <c r="L388" s="53"/>
      <c r="M388" s="8"/>
      <c r="N388" s="54"/>
    </row>
    <row r="389" spans="1:14" ht="12.75" hidden="1">
      <c r="A389" s="82" t="s">
        <v>83</v>
      </c>
      <c r="B389" s="61">
        <f aca="true" t="shared" si="122" ref="B389:K389">SUM(B391:B391)</f>
        <v>0</v>
      </c>
      <c r="C389" s="61">
        <f t="shared" si="122"/>
        <v>0</v>
      </c>
      <c r="D389" s="61">
        <f t="shared" si="122"/>
        <v>0</v>
      </c>
      <c r="E389" s="61">
        <f t="shared" si="122"/>
        <v>0</v>
      </c>
      <c r="F389" s="61">
        <f t="shared" si="122"/>
        <v>0</v>
      </c>
      <c r="G389" s="148">
        <f t="shared" si="122"/>
        <v>5.6</v>
      </c>
      <c r="H389" s="168">
        <f t="shared" si="122"/>
        <v>0</v>
      </c>
      <c r="I389" s="13">
        <f t="shared" si="122"/>
        <v>0</v>
      </c>
      <c r="J389" s="13">
        <f t="shared" si="122"/>
        <v>0</v>
      </c>
      <c r="K389" s="62">
        <f t="shared" si="122"/>
        <v>0</v>
      </c>
      <c r="L389" s="53"/>
      <c r="M389" s="8"/>
      <c r="N389" s="54"/>
    </row>
    <row r="390" spans="1:14" ht="12.75" hidden="1">
      <c r="A390" s="78" t="s">
        <v>47</v>
      </c>
      <c r="B390" s="53"/>
      <c r="C390" s="8"/>
      <c r="D390" s="8"/>
      <c r="E390" s="54"/>
      <c r="F390" s="53"/>
      <c r="G390" s="106"/>
      <c r="H390" s="15"/>
      <c r="I390" s="8"/>
      <c r="J390" s="8"/>
      <c r="K390" s="54"/>
      <c r="L390" s="53"/>
      <c r="M390" s="8"/>
      <c r="N390" s="54"/>
    </row>
    <row r="391" spans="1:14" ht="12.75" hidden="1">
      <c r="A391" s="79" t="s">
        <v>84</v>
      </c>
      <c r="B391" s="57"/>
      <c r="C391" s="11"/>
      <c r="D391" s="11"/>
      <c r="E391" s="58">
        <f>B391+C391+D391</f>
        <v>0</v>
      </c>
      <c r="F391" s="57"/>
      <c r="G391" s="17">
        <v>5.6</v>
      </c>
      <c r="H391" s="169"/>
      <c r="I391" s="11"/>
      <c r="J391" s="11"/>
      <c r="K391" s="58">
        <f>H391+I391+J391</f>
        <v>0</v>
      </c>
      <c r="L391" s="53"/>
      <c r="M391" s="8"/>
      <c r="N391" s="54"/>
    </row>
    <row r="392" spans="1:14" ht="12.75">
      <c r="A392" s="73" t="s">
        <v>178</v>
      </c>
      <c r="B392" s="51">
        <f>B394+B395</f>
        <v>213220.7</v>
      </c>
      <c r="C392" s="7">
        <f aca="true" t="shared" si="123" ref="C392:N392">C394+C395</f>
        <v>166928</v>
      </c>
      <c r="D392" s="7">
        <f t="shared" si="123"/>
        <v>2553.5</v>
      </c>
      <c r="E392" s="52">
        <f t="shared" si="123"/>
        <v>382702.19999999995</v>
      </c>
      <c r="F392" s="51">
        <f t="shared" si="123"/>
        <v>58495</v>
      </c>
      <c r="G392" s="125">
        <f t="shared" si="123"/>
        <v>6970.800000000003</v>
      </c>
      <c r="H392" s="166">
        <f t="shared" si="123"/>
        <v>448168.00000000006</v>
      </c>
      <c r="I392" s="7">
        <f t="shared" si="123"/>
        <v>22150</v>
      </c>
      <c r="J392" s="7">
        <f t="shared" si="123"/>
        <v>0</v>
      </c>
      <c r="K392" s="52">
        <f t="shared" si="123"/>
        <v>470318</v>
      </c>
      <c r="L392" s="51" t="e">
        <f t="shared" si="123"/>
        <v>#REF!</v>
      </c>
      <c r="M392" s="7" t="e">
        <f t="shared" si="123"/>
        <v>#REF!</v>
      </c>
      <c r="N392" s="52" t="e">
        <f t="shared" si="123"/>
        <v>#REF!</v>
      </c>
    </row>
    <row r="393" spans="1:14" ht="12.75">
      <c r="A393" s="75" t="s">
        <v>47</v>
      </c>
      <c r="B393" s="51"/>
      <c r="C393" s="7"/>
      <c r="D393" s="7"/>
      <c r="E393" s="52"/>
      <c r="F393" s="51"/>
      <c r="G393" s="125"/>
      <c r="H393" s="166"/>
      <c r="I393" s="7"/>
      <c r="J393" s="7"/>
      <c r="K393" s="52"/>
      <c r="L393" s="51"/>
      <c r="M393" s="7"/>
      <c r="N393" s="52"/>
    </row>
    <row r="394" spans="1:14" ht="12.75">
      <c r="A394" s="73" t="s">
        <v>77</v>
      </c>
      <c r="B394" s="51">
        <f>B408+B417+B419+B424+B429+B420+B411+B431</f>
        <v>19525</v>
      </c>
      <c r="C394" s="7">
        <f>C408+C424+C429+C420+C411+C419+C431</f>
        <v>16158.1</v>
      </c>
      <c r="D394" s="7">
        <f>D408+D424+D429+D420+D411</f>
        <v>0</v>
      </c>
      <c r="E394" s="52">
        <f>B394+C394+D394</f>
        <v>35683.1</v>
      </c>
      <c r="F394" s="140">
        <f aca="true" t="shared" si="124" ref="F394:K394">F408+F424+F429+F420+F411+F419+F417+F431</f>
        <v>269</v>
      </c>
      <c r="G394" s="7">
        <f t="shared" si="124"/>
        <v>1923.8</v>
      </c>
      <c r="H394" s="174">
        <f t="shared" si="124"/>
        <v>37875.9</v>
      </c>
      <c r="I394" s="7">
        <f t="shared" si="124"/>
        <v>-134.70000000000005</v>
      </c>
      <c r="J394" s="7">
        <f t="shared" si="124"/>
        <v>0</v>
      </c>
      <c r="K394" s="52">
        <f t="shared" si="124"/>
        <v>37741.200000000004</v>
      </c>
      <c r="L394" s="51">
        <f>L408+L424+L429+L420+L411+L417+L419</f>
        <v>0</v>
      </c>
      <c r="M394" s="7">
        <f>M408+M424+M429+M420+M411+M417+M419</f>
        <v>0</v>
      </c>
      <c r="N394" s="52">
        <f>N408+N424+N429+N420+N411+N417+N419</f>
        <v>32520.9</v>
      </c>
    </row>
    <row r="395" spans="1:14" ht="12.75">
      <c r="A395" s="73" t="s">
        <v>83</v>
      </c>
      <c r="B395" s="51">
        <f aca="true" t="shared" si="125" ref="B395:K395">B398+B399+B401+B402+B404+B405+B406+B410+B412+B413+B415+B416+B418+B421+B423+B425+B426+B428+B430+B432+B433</f>
        <v>193695.7</v>
      </c>
      <c r="C395" s="7">
        <f t="shared" si="125"/>
        <v>150769.9</v>
      </c>
      <c r="D395" s="7">
        <f t="shared" si="125"/>
        <v>2553.5</v>
      </c>
      <c r="E395" s="52">
        <f t="shared" si="125"/>
        <v>347019.1</v>
      </c>
      <c r="F395" s="140">
        <f t="shared" si="125"/>
        <v>58226</v>
      </c>
      <c r="G395" s="7">
        <f t="shared" si="125"/>
        <v>5047.000000000003</v>
      </c>
      <c r="H395" s="174">
        <f t="shared" si="125"/>
        <v>410292.10000000003</v>
      </c>
      <c r="I395" s="7">
        <f t="shared" si="125"/>
        <v>22284.7</v>
      </c>
      <c r="J395" s="7">
        <f t="shared" si="125"/>
        <v>0</v>
      </c>
      <c r="K395" s="52">
        <f t="shared" si="125"/>
        <v>432576.8</v>
      </c>
      <c r="L395" s="51" t="e">
        <f>L398+L399+L401+L402+L404+L405+L406+#REF!+L410+L412+L413+L415+L416+L418+L421+L423+L425+L426+L428+L430+L432+L433</f>
        <v>#REF!</v>
      </c>
      <c r="M395" s="7" t="e">
        <f>M398+M399+M401+M402+M404+M405+M406+#REF!+M410+M412+M413+M415+M416+M418+M421+M423+M425+M426+M428+M430+M432+M433</f>
        <v>#REF!</v>
      </c>
      <c r="N395" s="52" t="e">
        <f>N398+N399+N401+N402+N404+N405+N406+#REF!+N410+N412+N413+N415+N416+N418+N421+N423+N425+N426+N428+N430+N432+N433</f>
        <v>#REF!</v>
      </c>
    </row>
    <row r="396" spans="1:14" ht="12.75">
      <c r="A396" s="74" t="s">
        <v>179</v>
      </c>
      <c r="B396" s="51"/>
      <c r="C396" s="7"/>
      <c r="D396" s="7"/>
      <c r="E396" s="52"/>
      <c r="F396" s="51"/>
      <c r="G396" s="125"/>
      <c r="H396" s="166"/>
      <c r="I396" s="7"/>
      <c r="J396" s="7"/>
      <c r="K396" s="52"/>
      <c r="L396" s="51"/>
      <c r="M396" s="7"/>
      <c r="N396" s="52"/>
    </row>
    <row r="397" spans="1:14" ht="12.75">
      <c r="A397" s="75" t="s">
        <v>180</v>
      </c>
      <c r="B397" s="53">
        <f>B398+B399</f>
        <v>0</v>
      </c>
      <c r="C397" s="8">
        <f aca="true" t="shared" si="126" ref="C397:N397">C398+C399</f>
        <v>0</v>
      </c>
      <c r="D397" s="8">
        <f t="shared" si="126"/>
        <v>0</v>
      </c>
      <c r="E397" s="54">
        <f t="shared" si="126"/>
        <v>0</v>
      </c>
      <c r="F397" s="53">
        <f t="shared" si="126"/>
        <v>0</v>
      </c>
      <c r="G397" s="106">
        <f t="shared" si="126"/>
        <v>310.3</v>
      </c>
      <c r="H397" s="15">
        <f t="shared" si="126"/>
        <v>310.3</v>
      </c>
      <c r="I397" s="8">
        <f t="shared" si="126"/>
        <v>0</v>
      </c>
      <c r="J397" s="8">
        <f t="shared" si="126"/>
        <v>0</v>
      </c>
      <c r="K397" s="54">
        <f t="shared" si="126"/>
        <v>310.3</v>
      </c>
      <c r="L397" s="53">
        <f t="shared" si="126"/>
        <v>0</v>
      </c>
      <c r="M397" s="8">
        <f t="shared" si="126"/>
        <v>0</v>
      </c>
      <c r="N397" s="54">
        <f t="shared" si="126"/>
        <v>310.3</v>
      </c>
    </row>
    <row r="398" spans="1:14" ht="12.75">
      <c r="A398" s="75" t="s">
        <v>181</v>
      </c>
      <c r="B398" s="53"/>
      <c r="C398" s="8"/>
      <c r="D398" s="7"/>
      <c r="E398" s="54">
        <f aca="true" t="shared" si="127" ref="E398:E433">B398+C398+D398</f>
        <v>0</v>
      </c>
      <c r="F398" s="53"/>
      <c r="G398" s="125"/>
      <c r="H398" s="15">
        <f>E398+F398+G398</f>
        <v>0</v>
      </c>
      <c r="I398" s="8"/>
      <c r="J398" s="7"/>
      <c r="K398" s="54">
        <f>H398+I398+J398</f>
        <v>0</v>
      </c>
      <c r="L398" s="53"/>
      <c r="M398" s="7"/>
      <c r="N398" s="54">
        <f>K398+L398+M398</f>
        <v>0</v>
      </c>
    </row>
    <row r="399" spans="1:14" ht="12.75">
      <c r="A399" s="75" t="s">
        <v>182</v>
      </c>
      <c r="B399" s="53"/>
      <c r="C399" s="8"/>
      <c r="D399" s="8"/>
      <c r="E399" s="54">
        <f t="shared" si="127"/>
        <v>0</v>
      </c>
      <c r="F399" s="53"/>
      <c r="G399" s="106">
        <v>310.3</v>
      </c>
      <c r="H399" s="15">
        <f>E399+F399+G399</f>
        <v>310.3</v>
      </c>
      <c r="I399" s="8"/>
      <c r="J399" s="7"/>
      <c r="K399" s="54">
        <f>H399+I399+J399</f>
        <v>310.3</v>
      </c>
      <c r="L399" s="53"/>
      <c r="M399" s="7"/>
      <c r="N399" s="54">
        <f>K399+L399+M399</f>
        <v>310.3</v>
      </c>
    </row>
    <row r="400" spans="1:14" ht="12.75">
      <c r="A400" s="75" t="s">
        <v>183</v>
      </c>
      <c r="B400" s="53">
        <f>B401+B402</f>
        <v>3000</v>
      </c>
      <c r="C400" s="8">
        <f aca="true" t="shared" si="128" ref="C400:N400">C401+C402</f>
        <v>0</v>
      </c>
      <c r="D400" s="8">
        <f t="shared" si="128"/>
        <v>0</v>
      </c>
      <c r="E400" s="54">
        <f t="shared" si="128"/>
        <v>3000</v>
      </c>
      <c r="F400" s="53">
        <f t="shared" si="128"/>
        <v>510</v>
      </c>
      <c r="G400" s="106">
        <f t="shared" si="128"/>
        <v>2022.1</v>
      </c>
      <c r="H400" s="15">
        <f t="shared" si="128"/>
        <v>5532.1</v>
      </c>
      <c r="I400" s="8">
        <f t="shared" si="128"/>
        <v>0</v>
      </c>
      <c r="J400" s="8">
        <f t="shared" si="128"/>
        <v>0</v>
      </c>
      <c r="K400" s="54">
        <f t="shared" si="128"/>
        <v>5532.1</v>
      </c>
      <c r="L400" s="53">
        <f t="shared" si="128"/>
        <v>0</v>
      </c>
      <c r="M400" s="8">
        <f t="shared" si="128"/>
        <v>0</v>
      </c>
      <c r="N400" s="54">
        <f t="shared" si="128"/>
        <v>5532.1</v>
      </c>
    </row>
    <row r="401" spans="1:14" ht="12.75">
      <c r="A401" s="75" t="s">
        <v>181</v>
      </c>
      <c r="B401" s="53">
        <v>3000</v>
      </c>
      <c r="C401" s="8"/>
      <c r="D401" s="8"/>
      <c r="E401" s="54">
        <f t="shared" si="127"/>
        <v>3000</v>
      </c>
      <c r="F401" s="53">
        <f>150+360</f>
        <v>510</v>
      </c>
      <c r="G401" s="106"/>
      <c r="H401" s="15">
        <f>E401+F401+G401</f>
        <v>3510</v>
      </c>
      <c r="I401" s="8">
        <v>408</v>
      </c>
      <c r="J401" s="7"/>
      <c r="K401" s="54">
        <f>H401+I401+J401</f>
        <v>3918</v>
      </c>
      <c r="L401" s="53"/>
      <c r="M401" s="7"/>
      <c r="N401" s="54">
        <f>K401+L401+M401</f>
        <v>3918</v>
      </c>
    </row>
    <row r="402" spans="1:14" ht="12.75">
      <c r="A402" s="75" t="s">
        <v>182</v>
      </c>
      <c r="B402" s="53"/>
      <c r="C402" s="8"/>
      <c r="D402" s="8"/>
      <c r="E402" s="54">
        <f t="shared" si="127"/>
        <v>0</v>
      </c>
      <c r="F402" s="53"/>
      <c r="G402" s="106">
        <v>2022.1</v>
      </c>
      <c r="H402" s="15">
        <f>E402+F402+G402</f>
        <v>2022.1</v>
      </c>
      <c r="I402" s="8">
        <v>-408</v>
      </c>
      <c r="J402" s="7"/>
      <c r="K402" s="54">
        <f>H402+I402+J402</f>
        <v>1614.1</v>
      </c>
      <c r="L402" s="53"/>
      <c r="M402" s="7"/>
      <c r="N402" s="54">
        <f>K402+L402+M402</f>
        <v>1614.1</v>
      </c>
    </row>
    <row r="403" spans="1:14" ht="12.75">
      <c r="A403" s="75" t="s">
        <v>184</v>
      </c>
      <c r="B403" s="53">
        <f>SUM(B404:B406)</f>
        <v>17939.899999999998</v>
      </c>
      <c r="C403" s="8">
        <f aca="true" t="shared" si="129" ref="C403:N403">SUM(C404:C406)</f>
        <v>27985.100000000002</v>
      </c>
      <c r="D403" s="8">
        <f t="shared" si="129"/>
        <v>0</v>
      </c>
      <c r="E403" s="54">
        <f t="shared" si="129"/>
        <v>45925</v>
      </c>
      <c r="F403" s="53">
        <f t="shared" si="129"/>
        <v>28000</v>
      </c>
      <c r="G403" s="106">
        <f t="shared" si="129"/>
        <v>0</v>
      </c>
      <c r="H403" s="15">
        <f t="shared" si="129"/>
        <v>73925</v>
      </c>
      <c r="I403" s="8">
        <f t="shared" si="129"/>
        <v>0</v>
      </c>
      <c r="J403" s="8">
        <f t="shared" si="129"/>
        <v>0</v>
      </c>
      <c r="K403" s="54">
        <f t="shared" si="129"/>
        <v>73925</v>
      </c>
      <c r="L403" s="53">
        <f t="shared" si="129"/>
        <v>0</v>
      </c>
      <c r="M403" s="8">
        <f t="shared" si="129"/>
        <v>0</v>
      </c>
      <c r="N403" s="54">
        <f t="shared" si="129"/>
        <v>73925</v>
      </c>
    </row>
    <row r="404" spans="1:14" ht="12.75">
      <c r="A404" s="75" t="s">
        <v>185</v>
      </c>
      <c r="B404" s="53">
        <v>2210.6</v>
      </c>
      <c r="C404" s="8">
        <v>9310.2</v>
      </c>
      <c r="D404" s="8"/>
      <c r="E404" s="54">
        <f t="shared" si="127"/>
        <v>11520.800000000001</v>
      </c>
      <c r="F404" s="53">
        <v>12000</v>
      </c>
      <c r="G404" s="106"/>
      <c r="H404" s="15">
        <f>E404+F404+G404</f>
        <v>23520.800000000003</v>
      </c>
      <c r="I404" s="8"/>
      <c r="J404" s="8"/>
      <c r="K404" s="54">
        <f>H404+I404+J404</f>
        <v>23520.800000000003</v>
      </c>
      <c r="L404" s="53"/>
      <c r="M404" s="8"/>
      <c r="N404" s="54">
        <f>K404+L404+M404</f>
        <v>23520.800000000003</v>
      </c>
    </row>
    <row r="405" spans="1:14" ht="12.75">
      <c r="A405" s="75" t="s">
        <v>186</v>
      </c>
      <c r="B405" s="53">
        <v>15729.3</v>
      </c>
      <c r="C405" s="10">
        <v>18674.9</v>
      </c>
      <c r="D405" s="8"/>
      <c r="E405" s="54">
        <f t="shared" si="127"/>
        <v>34404.2</v>
      </c>
      <c r="F405" s="53">
        <v>16000</v>
      </c>
      <c r="G405" s="106"/>
      <c r="H405" s="15">
        <f>E405+F405+G405</f>
        <v>50404.2</v>
      </c>
      <c r="I405" s="8"/>
      <c r="J405" s="8"/>
      <c r="K405" s="54">
        <f>H405+I405+J405</f>
        <v>50404.2</v>
      </c>
      <c r="L405" s="53"/>
      <c r="M405" s="8"/>
      <c r="N405" s="54">
        <f>K405+L405+M405</f>
        <v>50404.2</v>
      </c>
    </row>
    <row r="406" spans="1:14" ht="12.75">
      <c r="A406" s="75" t="s">
        <v>182</v>
      </c>
      <c r="B406" s="53"/>
      <c r="C406" s="8"/>
      <c r="D406" s="8"/>
      <c r="E406" s="54">
        <f t="shared" si="127"/>
        <v>0</v>
      </c>
      <c r="F406" s="53"/>
      <c r="G406" s="106"/>
      <c r="H406" s="15">
        <f>E406+F406+G406</f>
        <v>0</v>
      </c>
      <c r="I406" s="8"/>
      <c r="J406" s="8"/>
      <c r="K406" s="54">
        <f>H406+I406+J406</f>
        <v>0</v>
      </c>
      <c r="L406" s="53"/>
      <c r="M406" s="8"/>
      <c r="N406" s="54">
        <f>K406+L406+M406</f>
        <v>0</v>
      </c>
    </row>
    <row r="407" spans="1:14" ht="12.75">
      <c r="A407" s="75" t="s">
        <v>187</v>
      </c>
      <c r="B407" s="53">
        <f>B408</f>
        <v>1618</v>
      </c>
      <c r="C407" s="8">
        <f aca="true" t="shared" si="130" ref="C407:N407">C408</f>
        <v>0</v>
      </c>
      <c r="D407" s="8">
        <f t="shared" si="130"/>
        <v>0</v>
      </c>
      <c r="E407" s="54">
        <f t="shared" si="130"/>
        <v>1618</v>
      </c>
      <c r="F407" s="53">
        <f t="shared" si="130"/>
        <v>0</v>
      </c>
      <c r="G407" s="106">
        <f t="shared" si="130"/>
        <v>293.8</v>
      </c>
      <c r="H407" s="15">
        <f t="shared" si="130"/>
        <v>1911.8</v>
      </c>
      <c r="I407" s="8">
        <f t="shared" si="130"/>
        <v>0</v>
      </c>
      <c r="J407" s="8">
        <f t="shared" si="130"/>
        <v>0</v>
      </c>
      <c r="K407" s="54">
        <f t="shared" si="130"/>
        <v>1911.8</v>
      </c>
      <c r="L407" s="53">
        <f t="shared" si="130"/>
        <v>0</v>
      </c>
      <c r="M407" s="8">
        <f t="shared" si="130"/>
        <v>0</v>
      </c>
      <c r="N407" s="54">
        <f t="shared" si="130"/>
        <v>1911.8</v>
      </c>
    </row>
    <row r="408" spans="1:14" ht="12.75">
      <c r="A408" s="75" t="s">
        <v>188</v>
      </c>
      <c r="B408" s="53">
        <v>1618</v>
      </c>
      <c r="C408" s="8"/>
      <c r="D408" s="8"/>
      <c r="E408" s="54">
        <f t="shared" si="127"/>
        <v>1618</v>
      </c>
      <c r="F408" s="53"/>
      <c r="G408" s="106">
        <v>293.8</v>
      </c>
      <c r="H408" s="15">
        <f>E408+F408+G408</f>
        <v>1911.8</v>
      </c>
      <c r="I408" s="8"/>
      <c r="J408" s="8"/>
      <c r="K408" s="54">
        <f>H408+I408+J408</f>
        <v>1911.8</v>
      </c>
      <c r="L408" s="53"/>
      <c r="M408" s="8"/>
      <c r="N408" s="54">
        <f>K408+L408+M408</f>
        <v>1911.8</v>
      </c>
    </row>
    <row r="409" spans="1:14" ht="12.75">
      <c r="A409" s="75" t="s">
        <v>189</v>
      </c>
      <c r="B409" s="53">
        <f>SUM(B410:B413)</f>
        <v>50950</v>
      </c>
      <c r="C409" s="8">
        <f aca="true" t="shared" si="131" ref="C409:N409">SUM(C410:C413)</f>
        <v>30358.2</v>
      </c>
      <c r="D409" s="8">
        <f t="shared" si="131"/>
        <v>1691.1</v>
      </c>
      <c r="E409" s="54">
        <f t="shared" si="131"/>
        <v>82999.3</v>
      </c>
      <c r="F409" s="53">
        <f t="shared" si="131"/>
        <v>2215</v>
      </c>
      <c r="G409" s="106">
        <f t="shared" si="131"/>
        <v>2609</v>
      </c>
      <c r="H409" s="15">
        <f t="shared" si="131"/>
        <v>87823.3</v>
      </c>
      <c r="I409" s="8">
        <f t="shared" si="131"/>
        <v>20650</v>
      </c>
      <c r="J409" s="8">
        <f t="shared" si="131"/>
        <v>0</v>
      </c>
      <c r="K409" s="54">
        <f t="shared" si="131"/>
        <v>108473.3</v>
      </c>
      <c r="L409" s="53">
        <f t="shared" si="131"/>
        <v>0</v>
      </c>
      <c r="M409" s="8">
        <f t="shared" si="131"/>
        <v>0</v>
      </c>
      <c r="N409" s="54">
        <f t="shared" si="131"/>
        <v>108473.3</v>
      </c>
    </row>
    <row r="410" spans="1:14" ht="12.75">
      <c r="A410" s="75" t="s">
        <v>190</v>
      </c>
      <c r="B410" s="53">
        <v>39600</v>
      </c>
      <c r="C410" s="8">
        <f>10265.2+16400</f>
        <v>26665.2</v>
      </c>
      <c r="D410" s="8">
        <v>1691.1</v>
      </c>
      <c r="E410" s="54">
        <f t="shared" si="127"/>
        <v>67956.3</v>
      </c>
      <c r="F410" s="53">
        <v>2065</v>
      </c>
      <c r="G410" s="106">
        <v>319</v>
      </c>
      <c r="H410" s="15">
        <f>E410+F410+G410</f>
        <v>70340.3</v>
      </c>
      <c r="I410" s="8">
        <f>-380+20650</f>
        <v>20270</v>
      </c>
      <c r="J410" s="8"/>
      <c r="K410" s="54">
        <f>H410+I410+J410</f>
        <v>90610.3</v>
      </c>
      <c r="L410" s="53"/>
      <c r="M410" s="8"/>
      <c r="N410" s="54">
        <f>K410+L410+M410</f>
        <v>90610.3</v>
      </c>
    </row>
    <row r="411" spans="1:14" ht="12.75">
      <c r="A411" s="75" t="s">
        <v>191</v>
      </c>
      <c r="B411" s="53">
        <v>10600</v>
      </c>
      <c r="C411" s="8">
        <f>93+3600</f>
        <v>3693</v>
      </c>
      <c r="D411" s="8"/>
      <c r="E411" s="54">
        <f t="shared" si="127"/>
        <v>14293</v>
      </c>
      <c r="F411" s="53">
        <v>150</v>
      </c>
      <c r="G411" s="106">
        <v>1630</v>
      </c>
      <c r="H411" s="15">
        <f>E411+F411+G411</f>
        <v>16073</v>
      </c>
      <c r="I411" s="8">
        <v>1040</v>
      </c>
      <c r="J411" s="8"/>
      <c r="K411" s="54">
        <f>H411+I411+J411</f>
        <v>17113</v>
      </c>
      <c r="L411" s="53"/>
      <c r="M411" s="8"/>
      <c r="N411" s="54">
        <f>K411+L411+M411</f>
        <v>17113</v>
      </c>
    </row>
    <row r="412" spans="1:14" ht="13.5" customHeight="1">
      <c r="A412" s="75" t="s">
        <v>192</v>
      </c>
      <c r="B412" s="53">
        <v>750</v>
      </c>
      <c r="C412" s="8"/>
      <c r="D412" s="8"/>
      <c r="E412" s="54">
        <f t="shared" si="127"/>
        <v>750</v>
      </c>
      <c r="F412" s="53"/>
      <c r="G412" s="106"/>
      <c r="H412" s="15">
        <f>E412+F412+G412</f>
        <v>750</v>
      </c>
      <c r="I412" s="8"/>
      <c r="J412" s="8"/>
      <c r="K412" s="54">
        <f>H412+I412+J412</f>
        <v>750</v>
      </c>
      <c r="L412" s="53"/>
      <c r="M412" s="8"/>
      <c r="N412" s="54">
        <f>K412+L412+M412</f>
        <v>750</v>
      </c>
    </row>
    <row r="413" spans="1:14" ht="12.75">
      <c r="A413" s="75" t="s">
        <v>193</v>
      </c>
      <c r="B413" s="53"/>
      <c r="C413" s="8"/>
      <c r="D413" s="8"/>
      <c r="E413" s="54">
        <f t="shared" si="127"/>
        <v>0</v>
      </c>
      <c r="F413" s="53"/>
      <c r="G413" s="106">
        <v>660</v>
      </c>
      <c r="H413" s="15">
        <f>E413+F413+G413</f>
        <v>660</v>
      </c>
      <c r="I413" s="8">
        <v>-660</v>
      </c>
      <c r="J413" s="8"/>
      <c r="K413" s="54">
        <f>H413+I413+J413</f>
        <v>0</v>
      </c>
      <c r="L413" s="53"/>
      <c r="M413" s="8"/>
      <c r="N413" s="54">
        <f>K413+L413+M413</f>
        <v>0</v>
      </c>
    </row>
    <row r="414" spans="1:14" ht="12.75">
      <c r="A414" s="75" t="s">
        <v>194</v>
      </c>
      <c r="B414" s="53">
        <f>SUM(B415:B421)</f>
        <v>65681.8</v>
      </c>
      <c r="C414" s="8">
        <f aca="true" t="shared" si="132" ref="C414:N414">SUM(C415:C421)</f>
        <v>36731.6</v>
      </c>
      <c r="D414" s="8">
        <f t="shared" si="132"/>
        <v>0</v>
      </c>
      <c r="E414" s="54">
        <f t="shared" si="132"/>
        <v>102413.40000000001</v>
      </c>
      <c r="F414" s="53">
        <f t="shared" si="132"/>
        <v>27770</v>
      </c>
      <c r="G414" s="106">
        <f t="shared" si="132"/>
        <v>1338.6</v>
      </c>
      <c r="H414" s="15">
        <f t="shared" si="132"/>
        <v>131522</v>
      </c>
      <c r="I414" s="8">
        <f t="shared" si="132"/>
        <v>1500</v>
      </c>
      <c r="J414" s="8">
        <f t="shared" si="132"/>
        <v>0</v>
      </c>
      <c r="K414" s="54">
        <f t="shared" si="132"/>
        <v>133022</v>
      </c>
      <c r="L414" s="53">
        <f t="shared" si="132"/>
        <v>0</v>
      </c>
      <c r="M414" s="8">
        <f t="shared" si="132"/>
        <v>0</v>
      </c>
      <c r="N414" s="54">
        <f t="shared" si="132"/>
        <v>133022</v>
      </c>
    </row>
    <row r="415" spans="1:14" ht="12.75">
      <c r="A415" s="75" t="s">
        <v>195</v>
      </c>
      <c r="B415" s="53">
        <v>7074</v>
      </c>
      <c r="C415" s="8">
        <f>12061+5465</f>
        <v>17526</v>
      </c>
      <c r="D415" s="8"/>
      <c r="E415" s="54">
        <f t="shared" si="127"/>
        <v>24600</v>
      </c>
      <c r="F415" s="53">
        <f>1267.8+5000+20000</f>
        <v>26267.8</v>
      </c>
      <c r="G415" s="106">
        <v>11236.1</v>
      </c>
      <c r="H415" s="15">
        <f aca="true" t="shared" si="133" ref="H415:H421">E415+F415+G415</f>
        <v>62103.9</v>
      </c>
      <c r="I415" s="8"/>
      <c r="J415" s="8"/>
      <c r="K415" s="54">
        <f aca="true" t="shared" si="134" ref="K415:K421">H415+I415+J415</f>
        <v>62103.9</v>
      </c>
      <c r="L415" s="53"/>
      <c r="M415" s="8"/>
      <c r="N415" s="54">
        <f aca="true" t="shared" si="135" ref="N415:N421">K415+L415+M415</f>
        <v>62103.9</v>
      </c>
    </row>
    <row r="416" spans="1:14" ht="12.75">
      <c r="A416" s="75" t="s">
        <v>196</v>
      </c>
      <c r="B416" s="53">
        <v>54215</v>
      </c>
      <c r="C416" s="8">
        <f>16896.6+645</f>
        <v>17541.6</v>
      </c>
      <c r="D416" s="8"/>
      <c r="E416" s="54">
        <f t="shared" si="127"/>
        <v>71756.6</v>
      </c>
      <c r="F416" s="53">
        <v>199.2</v>
      </c>
      <c r="G416" s="106">
        <v>-11229.6</v>
      </c>
      <c r="H416" s="15">
        <f t="shared" si="133"/>
        <v>60726.200000000004</v>
      </c>
      <c r="I416" s="8"/>
      <c r="J416" s="8"/>
      <c r="K416" s="54">
        <f t="shared" si="134"/>
        <v>60726.200000000004</v>
      </c>
      <c r="L416" s="53"/>
      <c r="M416" s="8"/>
      <c r="N416" s="54">
        <f t="shared" si="135"/>
        <v>60726.200000000004</v>
      </c>
    </row>
    <row r="417" spans="1:14" ht="12.75" hidden="1">
      <c r="A417" s="75" t="s">
        <v>197</v>
      </c>
      <c r="B417" s="53"/>
      <c r="C417" s="8"/>
      <c r="D417" s="8"/>
      <c r="E417" s="54">
        <f t="shared" si="127"/>
        <v>0</v>
      </c>
      <c r="F417" s="53"/>
      <c r="G417" s="106"/>
      <c r="H417" s="15">
        <f t="shared" si="133"/>
        <v>0</v>
      </c>
      <c r="I417" s="8"/>
      <c r="J417" s="8"/>
      <c r="K417" s="54">
        <f t="shared" si="134"/>
        <v>0</v>
      </c>
      <c r="L417" s="53"/>
      <c r="M417" s="8"/>
      <c r="N417" s="54">
        <f t="shared" si="135"/>
        <v>0</v>
      </c>
    </row>
    <row r="418" spans="1:14" ht="12.75">
      <c r="A418" s="75" t="s">
        <v>198</v>
      </c>
      <c r="B418" s="53">
        <v>2481</v>
      </c>
      <c r="C418" s="8"/>
      <c r="D418" s="8"/>
      <c r="E418" s="54">
        <f t="shared" si="127"/>
        <v>2481</v>
      </c>
      <c r="F418" s="53">
        <f>2770</f>
        <v>2770</v>
      </c>
      <c r="G418" s="106"/>
      <c r="H418" s="15">
        <f t="shared" si="133"/>
        <v>5251</v>
      </c>
      <c r="I418" s="8">
        <v>1500</v>
      </c>
      <c r="J418" s="8"/>
      <c r="K418" s="54">
        <f t="shared" si="134"/>
        <v>6751</v>
      </c>
      <c r="L418" s="53"/>
      <c r="M418" s="8"/>
      <c r="N418" s="54">
        <f t="shared" si="135"/>
        <v>6751</v>
      </c>
    </row>
    <row r="419" spans="1:14" ht="12.75" hidden="1">
      <c r="A419" s="75" t="s">
        <v>199</v>
      </c>
      <c r="B419" s="53"/>
      <c r="C419" s="8"/>
      <c r="D419" s="8"/>
      <c r="E419" s="54">
        <f t="shared" si="127"/>
        <v>0</v>
      </c>
      <c r="F419" s="53"/>
      <c r="G419" s="106"/>
      <c r="H419" s="15">
        <f t="shared" si="133"/>
        <v>0</v>
      </c>
      <c r="I419" s="10"/>
      <c r="J419" s="8"/>
      <c r="K419" s="54">
        <f t="shared" si="134"/>
        <v>0</v>
      </c>
      <c r="L419" s="53"/>
      <c r="M419" s="8"/>
      <c r="N419" s="54">
        <f t="shared" si="135"/>
        <v>0</v>
      </c>
    </row>
    <row r="420" spans="1:14" ht="12.75">
      <c r="A420" s="75" t="s">
        <v>200</v>
      </c>
      <c r="B420" s="53"/>
      <c r="C420" s="8">
        <f>145+1519</f>
        <v>1664</v>
      </c>
      <c r="D420" s="8"/>
      <c r="E420" s="54">
        <f t="shared" si="127"/>
        <v>1664</v>
      </c>
      <c r="F420" s="53"/>
      <c r="G420" s="106"/>
      <c r="H420" s="15">
        <f t="shared" si="133"/>
        <v>1664</v>
      </c>
      <c r="I420" s="8"/>
      <c r="J420" s="8"/>
      <c r="K420" s="54">
        <f t="shared" si="134"/>
        <v>1664</v>
      </c>
      <c r="L420" s="53"/>
      <c r="M420" s="8"/>
      <c r="N420" s="54">
        <f t="shared" si="135"/>
        <v>1664</v>
      </c>
    </row>
    <row r="421" spans="1:14" ht="12.75">
      <c r="A421" s="75" t="s">
        <v>193</v>
      </c>
      <c r="B421" s="53">
        <v>1911.8</v>
      </c>
      <c r="C421" s="8"/>
      <c r="D421" s="8"/>
      <c r="E421" s="54">
        <f t="shared" si="127"/>
        <v>1911.8</v>
      </c>
      <c r="F421" s="53">
        <v>-1467</v>
      </c>
      <c r="G421" s="106">
        <f>-6.5+1338.6</f>
        <v>1332.1</v>
      </c>
      <c r="H421" s="15">
        <f t="shared" si="133"/>
        <v>1776.8999999999999</v>
      </c>
      <c r="I421" s="8"/>
      <c r="J421" s="8"/>
      <c r="K421" s="54">
        <f t="shared" si="134"/>
        <v>1776.8999999999999</v>
      </c>
      <c r="L421" s="53"/>
      <c r="M421" s="8"/>
      <c r="N421" s="54">
        <f t="shared" si="135"/>
        <v>1776.8999999999999</v>
      </c>
    </row>
    <row r="422" spans="1:14" ht="12.75">
      <c r="A422" s="75" t="s">
        <v>201</v>
      </c>
      <c r="B422" s="53">
        <f>SUM(B423:B426)</f>
        <v>5000</v>
      </c>
      <c r="C422" s="8">
        <f aca="true" t="shared" si="136" ref="C422:N422">SUM(C423:C426)</f>
        <v>0</v>
      </c>
      <c r="D422" s="8">
        <f t="shared" si="136"/>
        <v>862.4</v>
      </c>
      <c r="E422" s="54">
        <f t="shared" si="136"/>
        <v>5862.4</v>
      </c>
      <c r="F422" s="53">
        <f t="shared" si="136"/>
        <v>0</v>
      </c>
      <c r="G422" s="106">
        <f t="shared" si="136"/>
        <v>4.8</v>
      </c>
      <c r="H422" s="15">
        <f t="shared" si="136"/>
        <v>5867.2</v>
      </c>
      <c r="I422" s="8">
        <f t="shared" si="136"/>
        <v>0</v>
      </c>
      <c r="J422" s="8">
        <f t="shared" si="136"/>
        <v>0</v>
      </c>
      <c r="K422" s="54">
        <f t="shared" si="136"/>
        <v>5867.2</v>
      </c>
      <c r="L422" s="53">
        <f t="shared" si="136"/>
        <v>0</v>
      </c>
      <c r="M422" s="8">
        <f t="shared" si="136"/>
        <v>0</v>
      </c>
      <c r="N422" s="54">
        <f t="shared" si="136"/>
        <v>5867.2</v>
      </c>
    </row>
    <row r="423" spans="1:14" ht="12.75">
      <c r="A423" s="75" t="s">
        <v>190</v>
      </c>
      <c r="B423" s="53">
        <v>5000</v>
      </c>
      <c r="C423" s="8"/>
      <c r="D423" s="8">
        <v>-180</v>
      </c>
      <c r="E423" s="54">
        <f t="shared" si="127"/>
        <v>4820</v>
      </c>
      <c r="F423" s="53"/>
      <c r="G423" s="106"/>
      <c r="H423" s="15">
        <f>E423+F423+G423</f>
        <v>4820</v>
      </c>
      <c r="I423" s="8">
        <v>150</v>
      </c>
      <c r="J423" s="8"/>
      <c r="K423" s="54">
        <f>H423+I423+J423</f>
        <v>4970</v>
      </c>
      <c r="L423" s="53"/>
      <c r="M423" s="8"/>
      <c r="N423" s="54">
        <f>K423+L423+M423</f>
        <v>4970</v>
      </c>
    </row>
    <row r="424" spans="1:14" ht="12.75">
      <c r="A424" s="75" t="s">
        <v>191</v>
      </c>
      <c r="B424" s="53"/>
      <c r="C424" s="8"/>
      <c r="D424" s="8"/>
      <c r="E424" s="54">
        <f t="shared" si="127"/>
        <v>0</v>
      </c>
      <c r="F424" s="53"/>
      <c r="G424" s="106"/>
      <c r="H424" s="15">
        <f>E424+F424+G424</f>
        <v>0</v>
      </c>
      <c r="I424" s="8">
        <v>38</v>
      </c>
      <c r="J424" s="8"/>
      <c r="K424" s="54">
        <f>H424+I424+J424</f>
        <v>38</v>
      </c>
      <c r="L424" s="53"/>
      <c r="M424" s="8"/>
      <c r="N424" s="54">
        <f>K424+L424+M424</f>
        <v>38</v>
      </c>
    </row>
    <row r="425" spans="1:14" ht="12.75">
      <c r="A425" s="75" t="s">
        <v>192</v>
      </c>
      <c r="B425" s="53"/>
      <c r="C425" s="8"/>
      <c r="D425" s="8">
        <v>180</v>
      </c>
      <c r="E425" s="54">
        <f t="shared" si="127"/>
        <v>180</v>
      </c>
      <c r="F425" s="53"/>
      <c r="G425" s="106"/>
      <c r="H425" s="15">
        <f>E425+F425+G425</f>
        <v>180</v>
      </c>
      <c r="I425" s="8">
        <v>679.2</v>
      </c>
      <c r="J425" s="8"/>
      <c r="K425" s="54">
        <f>H425+I425+J425</f>
        <v>859.2</v>
      </c>
      <c r="L425" s="53"/>
      <c r="M425" s="8"/>
      <c r="N425" s="54">
        <f>K425+L425+M425</f>
        <v>859.2</v>
      </c>
    </row>
    <row r="426" spans="1:14" ht="12.75">
      <c r="A426" s="84" t="s">
        <v>193</v>
      </c>
      <c r="B426" s="57"/>
      <c r="C426" s="11"/>
      <c r="D426" s="11">
        <v>862.4</v>
      </c>
      <c r="E426" s="58">
        <f t="shared" si="127"/>
        <v>862.4</v>
      </c>
      <c r="F426" s="57"/>
      <c r="G426" s="17">
        <v>4.8</v>
      </c>
      <c r="H426" s="169">
        <f>E426+F426+G426</f>
        <v>867.1999999999999</v>
      </c>
      <c r="I426" s="11">
        <v>-867.2</v>
      </c>
      <c r="J426" s="11"/>
      <c r="K426" s="58">
        <f>H426+I426+J426</f>
        <v>-1.1368683772161603E-13</v>
      </c>
      <c r="L426" s="53"/>
      <c r="M426" s="8"/>
      <c r="N426" s="54">
        <f>K426+L426+M426</f>
        <v>-1.1368683772161603E-13</v>
      </c>
    </row>
    <row r="427" spans="1:14" ht="12.75">
      <c r="A427" s="75" t="s">
        <v>202</v>
      </c>
      <c r="B427" s="53">
        <f>SUM(B428:B432)</f>
        <v>69031</v>
      </c>
      <c r="C427" s="8">
        <f aca="true" t="shared" si="137" ref="C427:N427">SUM(C428:C432)</f>
        <v>71853.1</v>
      </c>
      <c r="D427" s="8">
        <f t="shared" si="137"/>
        <v>0</v>
      </c>
      <c r="E427" s="54">
        <f t="shared" si="137"/>
        <v>140884.1</v>
      </c>
      <c r="F427" s="53">
        <f t="shared" si="137"/>
        <v>0</v>
      </c>
      <c r="G427" s="106">
        <f t="shared" si="137"/>
        <v>57.2</v>
      </c>
      <c r="H427" s="15">
        <f t="shared" si="137"/>
        <v>140941.30000000002</v>
      </c>
      <c r="I427" s="8">
        <f t="shared" si="137"/>
        <v>0</v>
      </c>
      <c r="J427" s="8">
        <f t="shared" si="137"/>
        <v>0</v>
      </c>
      <c r="K427" s="54">
        <f t="shared" si="137"/>
        <v>140941.3</v>
      </c>
      <c r="L427" s="53">
        <f t="shared" si="137"/>
        <v>0</v>
      </c>
      <c r="M427" s="8">
        <f t="shared" si="137"/>
        <v>0</v>
      </c>
      <c r="N427" s="54">
        <f t="shared" si="137"/>
        <v>140941.3</v>
      </c>
    </row>
    <row r="428" spans="1:14" ht="12.75">
      <c r="A428" s="75" t="s">
        <v>190</v>
      </c>
      <c r="B428" s="53">
        <v>53599</v>
      </c>
      <c r="C428" s="8">
        <f>44361.6-2677</f>
        <v>41684.6</v>
      </c>
      <c r="D428" s="8"/>
      <c r="E428" s="54">
        <f t="shared" si="127"/>
        <v>95283.6</v>
      </c>
      <c r="F428" s="53">
        <f>-1000-300</f>
        <v>-1300</v>
      </c>
      <c r="G428" s="106">
        <f>-38000-8468+2000</f>
        <v>-44468</v>
      </c>
      <c r="H428" s="15">
        <f>E428+F428+G428</f>
        <v>49515.600000000006</v>
      </c>
      <c r="I428" s="8"/>
      <c r="J428" s="8"/>
      <c r="K428" s="54">
        <f aca="true" t="shared" si="138" ref="K428:K433">H428+I428+J428</f>
        <v>49515.600000000006</v>
      </c>
      <c r="L428" s="53"/>
      <c r="M428" s="8"/>
      <c r="N428" s="54">
        <f aca="true" t="shared" si="139" ref="N428:N433">K428+L428+M428</f>
        <v>49515.600000000006</v>
      </c>
    </row>
    <row r="429" spans="1:14" ht="12.75">
      <c r="A429" s="75" t="s">
        <v>191</v>
      </c>
      <c r="B429" s="53">
        <v>993</v>
      </c>
      <c r="C429" s="8">
        <f>8124.1+2677</f>
        <v>10801.1</v>
      </c>
      <c r="D429" s="8"/>
      <c r="E429" s="54">
        <f t="shared" si="127"/>
        <v>11794.1</v>
      </c>
      <c r="F429" s="53"/>
      <c r="G429" s="106"/>
      <c r="H429" s="15">
        <f>E429+F429+G429</f>
        <v>11794.1</v>
      </c>
      <c r="I429" s="8"/>
      <c r="J429" s="8"/>
      <c r="K429" s="54">
        <f t="shared" si="138"/>
        <v>11794.1</v>
      </c>
      <c r="L429" s="53"/>
      <c r="M429" s="8"/>
      <c r="N429" s="54">
        <f t="shared" si="139"/>
        <v>11794.1</v>
      </c>
    </row>
    <row r="430" spans="1:14" ht="12.75">
      <c r="A430" s="75" t="s">
        <v>203</v>
      </c>
      <c r="B430" s="53">
        <v>8125</v>
      </c>
      <c r="C430" s="8">
        <v>19367.4</v>
      </c>
      <c r="D430" s="8"/>
      <c r="E430" s="54">
        <f t="shared" si="127"/>
        <v>27492.4</v>
      </c>
      <c r="F430" s="53">
        <f>881+300</f>
        <v>1181</v>
      </c>
      <c r="G430" s="106">
        <f>38000+8468-2000</f>
        <v>44468</v>
      </c>
      <c r="H430" s="15">
        <f>E430+F430+G430</f>
        <v>73141.4</v>
      </c>
      <c r="I430" s="8">
        <v>1212.7</v>
      </c>
      <c r="J430" s="8"/>
      <c r="K430" s="54">
        <f t="shared" si="138"/>
        <v>74354.09999999999</v>
      </c>
      <c r="L430" s="53"/>
      <c r="M430" s="8"/>
      <c r="N430" s="54">
        <f t="shared" si="139"/>
        <v>74354.09999999999</v>
      </c>
    </row>
    <row r="431" spans="1:14" ht="12.75">
      <c r="A431" s="75" t="s">
        <v>200</v>
      </c>
      <c r="B431" s="53">
        <v>6314</v>
      </c>
      <c r="C431" s="8"/>
      <c r="D431" s="8"/>
      <c r="E431" s="54">
        <f t="shared" si="127"/>
        <v>6314</v>
      </c>
      <c r="F431" s="53">
        <v>119</v>
      </c>
      <c r="G431" s="106"/>
      <c r="H431" s="15">
        <f>E431+F431+G431</f>
        <v>6433</v>
      </c>
      <c r="I431" s="8">
        <v>-1212.7</v>
      </c>
      <c r="J431" s="8"/>
      <c r="K431" s="54">
        <f t="shared" si="138"/>
        <v>5220.3</v>
      </c>
      <c r="L431" s="53"/>
      <c r="M431" s="8"/>
      <c r="N431" s="54">
        <f t="shared" si="139"/>
        <v>5220.3</v>
      </c>
    </row>
    <row r="432" spans="1:14" ht="12.75">
      <c r="A432" s="75" t="s">
        <v>193</v>
      </c>
      <c r="B432" s="53"/>
      <c r="C432" s="8"/>
      <c r="D432" s="8"/>
      <c r="E432" s="54">
        <f t="shared" si="127"/>
        <v>0</v>
      </c>
      <c r="F432" s="53"/>
      <c r="G432" s="106">
        <v>57.2</v>
      </c>
      <c r="H432" s="15">
        <f>E432+F432+G432</f>
        <v>57.2</v>
      </c>
      <c r="I432" s="8"/>
      <c r="J432" s="8"/>
      <c r="K432" s="54">
        <f t="shared" si="138"/>
        <v>57.2</v>
      </c>
      <c r="L432" s="53"/>
      <c r="M432" s="8"/>
      <c r="N432" s="54">
        <f t="shared" si="139"/>
        <v>57.2</v>
      </c>
    </row>
    <row r="433" spans="1:14" ht="12.75">
      <c r="A433" s="84" t="s">
        <v>204</v>
      </c>
      <c r="B433" s="57"/>
      <c r="C433" s="11"/>
      <c r="D433" s="11"/>
      <c r="E433" s="58">
        <f t="shared" si="127"/>
        <v>0</v>
      </c>
      <c r="F433" s="57"/>
      <c r="G433" s="17">
        <v>335</v>
      </c>
      <c r="H433" s="169">
        <f>SUM(E433:G433)</f>
        <v>335</v>
      </c>
      <c r="I433" s="11"/>
      <c r="J433" s="11"/>
      <c r="K433" s="58">
        <f t="shared" si="138"/>
        <v>335</v>
      </c>
      <c r="L433" s="57"/>
      <c r="M433" s="11"/>
      <c r="N433" s="58">
        <f t="shared" si="139"/>
        <v>335</v>
      </c>
    </row>
    <row r="434" spans="1:14" ht="13.5" thickBot="1">
      <c r="A434" s="90" t="s">
        <v>205</v>
      </c>
      <c r="B434" s="55">
        <v>4819</v>
      </c>
      <c r="C434" s="9">
        <v>167</v>
      </c>
      <c r="D434" s="115"/>
      <c r="E434" s="136">
        <f>SUM(B434:D434)</f>
        <v>4986</v>
      </c>
      <c r="F434" s="55">
        <f>3000</f>
        <v>3000</v>
      </c>
      <c r="G434" s="18"/>
      <c r="H434" s="175">
        <f>SUM(E434:G434)</f>
        <v>7986</v>
      </c>
      <c r="I434" s="176"/>
      <c r="J434" s="9"/>
      <c r="K434" s="56">
        <f>SUM(H434:J434)</f>
        <v>7986</v>
      </c>
      <c r="L434" s="55"/>
      <c r="M434" s="9"/>
      <c r="N434" s="56">
        <f>SUM(K434:M434)</f>
        <v>7986</v>
      </c>
    </row>
    <row r="435" spans="1:17" ht="15.75" thickBot="1">
      <c r="A435" s="91" t="s">
        <v>206</v>
      </c>
      <c r="B435" s="107">
        <f aca="true" t="shared" si="140" ref="B435:K435">B83+B96+B117+B135+B144+B168+B177+B187+B240+B284+B304+B321+B348+B371+B378+B392+B385+B434</f>
        <v>3205033</v>
      </c>
      <c r="C435" s="107" t="e">
        <f t="shared" si="140"/>
        <v>#REF!</v>
      </c>
      <c r="D435" s="107" t="e">
        <f t="shared" si="140"/>
        <v>#REF!</v>
      </c>
      <c r="E435" s="107" t="e">
        <f t="shared" si="140"/>
        <v>#REF!</v>
      </c>
      <c r="F435" s="107" t="e">
        <f t="shared" si="140"/>
        <v>#REF!</v>
      </c>
      <c r="G435" s="107" t="e">
        <f t="shared" si="140"/>
        <v>#REF!</v>
      </c>
      <c r="H435" s="107">
        <f t="shared" si="140"/>
        <v>6655840.8</v>
      </c>
      <c r="I435" s="107">
        <f t="shared" si="140"/>
        <v>1294219.2000000002</v>
      </c>
      <c r="J435" s="19" t="e">
        <f t="shared" si="140"/>
        <v>#REF!</v>
      </c>
      <c r="K435" s="20">
        <f t="shared" si="140"/>
        <v>7950060</v>
      </c>
      <c r="L435" s="41" t="e">
        <f>L83+L96+L117+L135+L144+L168+L177+L187+L240+L284+L304+L321+L348+L371+L378+L392+L434</f>
        <v>#REF!</v>
      </c>
      <c r="M435" s="19" t="e">
        <f>M83+M96+M117+M135+M144+M168+M177+M187+M240+M284+M304+M321+M348+M371+M378+M392+M434</f>
        <v>#REF!</v>
      </c>
      <c r="N435" s="20" t="e">
        <f>N83+N96+N117+N135+N144+N168+N177+N187+N240+N284+N304+N321+N348+N371+N378+N392+N434</f>
        <v>#REF!</v>
      </c>
      <c r="Q435" s="120"/>
    </row>
    <row r="436" spans="1:14" ht="13.5" thickBot="1">
      <c r="A436" s="92" t="s">
        <v>207</v>
      </c>
      <c r="B436" s="108">
        <v>-4819</v>
      </c>
      <c r="C436" s="21">
        <v>-167</v>
      </c>
      <c r="D436" s="116"/>
      <c r="E436" s="22">
        <f>SUM(B436:D436)</f>
        <v>-4986</v>
      </c>
      <c r="F436" s="108"/>
      <c r="G436" s="21"/>
      <c r="H436" s="54">
        <f>E436+F436+G436</f>
        <v>-4986</v>
      </c>
      <c r="I436" s="108"/>
      <c r="J436" s="21"/>
      <c r="K436" s="54">
        <f>H436+I436+J436</f>
        <v>-4986</v>
      </c>
      <c r="L436" s="42"/>
      <c r="M436" s="21"/>
      <c r="N436" s="22">
        <f>SUM(K436:M436)</f>
        <v>-4986</v>
      </c>
    </row>
    <row r="437" spans="1:14" ht="16.5" thickBot="1">
      <c r="A437" s="93" t="s">
        <v>208</v>
      </c>
      <c r="B437" s="109">
        <f aca="true" t="shared" si="141" ref="B437:N437">B435+B436</f>
        <v>3200214</v>
      </c>
      <c r="C437" s="109" t="e">
        <f t="shared" si="141"/>
        <v>#REF!</v>
      </c>
      <c r="D437" s="109" t="e">
        <f t="shared" si="141"/>
        <v>#REF!</v>
      </c>
      <c r="E437" s="109" t="e">
        <f t="shared" si="141"/>
        <v>#REF!</v>
      </c>
      <c r="F437" s="109" t="e">
        <f t="shared" si="141"/>
        <v>#REF!</v>
      </c>
      <c r="G437" s="109" t="e">
        <f t="shared" si="141"/>
        <v>#REF!</v>
      </c>
      <c r="H437" s="109">
        <f t="shared" si="141"/>
        <v>6650854.8</v>
      </c>
      <c r="I437" s="109">
        <f t="shared" si="141"/>
        <v>1294219.2000000002</v>
      </c>
      <c r="J437" s="23" t="e">
        <f t="shared" si="141"/>
        <v>#REF!</v>
      </c>
      <c r="K437" s="24">
        <f t="shared" si="141"/>
        <v>7945074</v>
      </c>
      <c r="L437" s="72" t="e">
        <f t="shared" si="141"/>
        <v>#REF!</v>
      </c>
      <c r="M437" s="24" t="e">
        <f t="shared" si="141"/>
        <v>#REF!</v>
      </c>
      <c r="N437" s="24" t="e">
        <f t="shared" si="141"/>
        <v>#REF!</v>
      </c>
    </row>
    <row r="438" spans="1:14" ht="15.75">
      <c r="A438" s="94" t="s">
        <v>47</v>
      </c>
      <c r="B438" s="110"/>
      <c r="C438" s="25"/>
      <c r="D438" s="117"/>
      <c r="E438" s="26"/>
      <c r="F438" s="110"/>
      <c r="G438" s="156"/>
      <c r="H438" s="156"/>
      <c r="I438" s="25"/>
      <c r="J438" s="25"/>
      <c r="K438" s="26"/>
      <c r="L438" s="27"/>
      <c r="M438" s="25"/>
      <c r="N438" s="26"/>
    </row>
    <row r="439" spans="1:14" ht="15.75">
      <c r="A439" s="95" t="s">
        <v>77</v>
      </c>
      <c r="B439" s="111">
        <f aca="true" t="shared" si="142" ref="B439:K439">B84+B97+B118+B136+B145+B169+B178+B188+B241+B285+B305+B322+B349+B372+B379+B386+B394+B434+B436</f>
        <v>2807884.3000000003</v>
      </c>
      <c r="C439" s="111" t="e">
        <f t="shared" si="142"/>
        <v>#REF!</v>
      </c>
      <c r="D439" s="111" t="e">
        <f t="shared" si="142"/>
        <v>#REF!</v>
      </c>
      <c r="E439" s="111" t="e">
        <f t="shared" si="142"/>
        <v>#REF!</v>
      </c>
      <c r="F439" s="111" t="e">
        <f t="shared" si="142"/>
        <v>#REF!</v>
      </c>
      <c r="G439" s="111" t="e">
        <f t="shared" si="142"/>
        <v>#REF!</v>
      </c>
      <c r="H439" s="159">
        <f t="shared" si="142"/>
        <v>5691524.200000001</v>
      </c>
      <c r="I439" s="28">
        <f t="shared" si="142"/>
        <v>1144820.5</v>
      </c>
      <c r="J439" s="28" t="e">
        <f t="shared" si="142"/>
        <v>#REF!</v>
      </c>
      <c r="K439" s="29">
        <f t="shared" si="142"/>
        <v>6836344.699999999</v>
      </c>
      <c r="L439" s="30" t="e">
        <f>L84+L97+L118+L136+L145+L169+L178+L188+L241+L285+L305+L322+L349+L372+L379+L394+L434</f>
        <v>#REF!</v>
      </c>
      <c r="M439" s="28" t="e">
        <f>M84+M97+M118+M136+M145+M169+M178+M188+M241+M285+M305+M322+M349+M372+M379+M394+M434</f>
        <v>#REF!</v>
      </c>
      <c r="N439" s="29" t="e">
        <f>N84+N97+N118+N136+N145+N169+N178+N188+N241+N285+N305+N322+N349+N372+N379+N394+N434</f>
        <v>#REF!</v>
      </c>
    </row>
    <row r="440" spans="1:14" ht="16.5" thickBot="1">
      <c r="A440" s="81" t="s">
        <v>83</v>
      </c>
      <c r="B440" s="112">
        <f aca="true" t="shared" si="143" ref="B440:K440">B92+B113+B128+B141+B158+B174+B182+B222+B275+B295+B316+B342+B361+B375+B389+B395</f>
        <v>392329.7</v>
      </c>
      <c r="C440" s="112">
        <f t="shared" si="143"/>
        <v>299347.70000000007</v>
      </c>
      <c r="D440" s="112">
        <f t="shared" si="143"/>
        <v>3923.400000000004</v>
      </c>
      <c r="E440" s="112">
        <f t="shared" si="143"/>
        <v>695600.8</v>
      </c>
      <c r="F440" s="112">
        <f t="shared" si="143"/>
        <v>183914.9</v>
      </c>
      <c r="G440" s="112">
        <f t="shared" si="143"/>
        <v>79820.50000000001</v>
      </c>
      <c r="H440" s="160">
        <f t="shared" si="143"/>
        <v>959330.6000000001</v>
      </c>
      <c r="I440" s="31">
        <f t="shared" si="143"/>
        <v>149398.7</v>
      </c>
      <c r="J440" s="31">
        <f t="shared" si="143"/>
        <v>0</v>
      </c>
      <c r="K440" s="32">
        <f t="shared" si="143"/>
        <v>1108729.3</v>
      </c>
      <c r="L440" s="33" t="e">
        <f>L92+L113+L128+L141+L158+L174+L182+L222+L275+L295+L316+L342+L361+L375+L395</f>
        <v>#REF!</v>
      </c>
      <c r="M440" s="31" t="e">
        <f>M92+M113+M128+M141+M158+M174+M182+M222+M275+M295+M316+M342+M361+M375+M395</f>
        <v>#REF!</v>
      </c>
      <c r="N440" s="32" t="e">
        <f>N92+N113+N128+N141+N158+N174+N182+N222+N275+N295+N316+N342+N361+N375+N395</f>
        <v>#REF!</v>
      </c>
    </row>
    <row r="441" spans="1:14" ht="15.75">
      <c r="A441" s="94" t="s">
        <v>209</v>
      </c>
      <c r="B441" s="113">
        <f>SUM(B443:B448)</f>
        <v>225035</v>
      </c>
      <c r="C441" s="113">
        <f aca="true" t="shared" si="144" ref="C441:K441">SUM(C443:C448)</f>
        <v>510578.2</v>
      </c>
      <c r="D441" s="113">
        <f t="shared" si="144"/>
        <v>2553.5</v>
      </c>
      <c r="E441" s="113">
        <f t="shared" si="144"/>
        <v>738166.7</v>
      </c>
      <c r="F441" s="113">
        <f t="shared" si="144"/>
        <v>-9530</v>
      </c>
      <c r="G441" s="113">
        <f t="shared" si="144"/>
        <v>33228.299999999996</v>
      </c>
      <c r="H441" s="161">
        <f t="shared" si="144"/>
        <v>761865</v>
      </c>
      <c r="I441" s="34">
        <f t="shared" si="144"/>
        <v>10498</v>
      </c>
      <c r="J441" s="34">
        <f t="shared" si="144"/>
        <v>0</v>
      </c>
      <c r="K441" s="35">
        <f t="shared" si="144"/>
        <v>772363</v>
      </c>
      <c r="L441" s="36">
        <f>SUM(L443:L447)</f>
        <v>0</v>
      </c>
      <c r="M441" s="34">
        <f>SUM(M443:M447)</f>
        <v>0</v>
      </c>
      <c r="N441" s="37">
        <f>SUM(N443:N447)</f>
        <v>869363</v>
      </c>
    </row>
    <row r="442" spans="1:14" ht="12.75" customHeight="1">
      <c r="A442" s="96" t="s">
        <v>47</v>
      </c>
      <c r="B442" s="114"/>
      <c r="C442" s="38"/>
      <c r="D442" s="118"/>
      <c r="E442" s="119"/>
      <c r="F442" s="114"/>
      <c r="G442" s="157"/>
      <c r="H442" s="133"/>
      <c r="I442" s="38"/>
      <c r="J442" s="38"/>
      <c r="K442" s="119"/>
      <c r="L442" s="43"/>
      <c r="M442" s="38"/>
      <c r="N442" s="39"/>
    </row>
    <row r="443" spans="1:14" ht="14.25">
      <c r="A443" s="96" t="s">
        <v>210</v>
      </c>
      <c r="B443" s="44">
        <v>325035</v>
      </c>
      <c r="C443" s="40">
        <v>2922.7</v>
      </c>
      <c r="D443" s="133">
        <v>1691.1</v>
      </c>
      <c r="E443" s="119">
        <f>SUM(B443:D443)</f>
        <v>329648.8</v>
      </c>
      <c r="F443" s="144"/>
      <c r="G443" s="133"/>
      <c r="H443" s="133">
        <f aca="true" t="shared" si="145" ref="H443:H448">SUM(E443:G443)</f>
        <v>329648.8</v>
      </c>
      <c r="I443" s="40"/>
      <c r="J443" s="40"/>
      <c r="K443" s="119">
        <f aca="true" t="shared" si="146" ref="K443:K448">SUM(H443:J443)</f>
        <v>329648.8</v>
      </c>
      <c r="L443" s="44"/>
      <c r="M443" s="40"/>
      <c r="N443" s="39">
        <f>SUM(K443:M443)</f>
        <v>329648.8</v>
      </c>
    </row>
    <row r="444" spans="1:14" ht="14.25">
      <c r="A444" s="97" t="s">
        <v>223</v>
      </c>
      <c r="B444" s="44">
        <v>-100000</v>
      </c>
      <c r="C444" s="40"/>
      <c r="D444" s="133"/>
      <c r="E444" s="119">
        <f>SUM(B444:D444)</f>
        <v>-100000</v>
      </c>
      <c r="F444" s="144"/>
      <c r="G444" s="133"/>
      <c r="H444" s="133">
        <f t="shared" si="145"/>
        <v>-100000</v>
      </c>
      <c r="I444" s="40"/>
      <c r="J444" s="40"/>
      <c r="K444" s="119">
        <f t="shared" si="146"/>
        <v>-100000</v>
      </c>
      <c r="L444" s="44"/>
      <c r="M444" s="40"/>
      <c r="N444" s="39"/>
    </row>
    <row r="445" spans="1:14" ht="14.25">
      <c r="A445" s="97" t="s">
        <v>211</v>
      </c>
      <c r="B445" s="44"/>
      <c r="C445" s="99"/>
      <c r="D445" s="133"/>
      <c r="E445" s="119"/>
      <c r="F445" s="144"/>
      <c r="G445" s="133"/>
      <c r="H445" s="133">
        <f t="shared" si="145"/>
        <v>0</v>
      </c>
      <c r="I445" s="40">
        <v>10498</v>
      </c>
      <c r="J445" s="40"/>
      <c r="K445" s="119">
        <f t="shared" si="146"/>
        <v>10498</v>
      </c>
      <c r="L445" s="44"/>
      <c r="M445" s="40"/>
      <c r="N445" s="39">
        <f>SUM(K445:M445)</f>
        <v>10498</v>
      </c>
    </row>
    <row r="446" spans="1:14" ht="14.25">
      <c r="A446" s="96" t="s">
        <v>212</v>
      </c>
      <c r="B446" s="44"/>
      <c r="C446" s="40">
        <f>-14763.4-20605.1</f>
        <v>-35368.5</v>
      </c>
      <c r="D446" s="133"/>
      <c r="E446" s="119">
        <f>SUM(B446:D446)</f>
        <v>-35368.5</v>
      </c>
      <c r="F446" s="144">
        <v>-12530</v>
      </c>
      <c r="G446" s="133"/>
      <c r="H446" s="133">
        <f t="shared" si="145"/>
        <v>-47898.5</v>
      </c>
      <c r="I446" s="40"/>
      <c r="J446" s="40"/>
      <c r="K446" s="119">
        <f t="shared" si="146"/>
        <v>-47898.5</v>
      </c>
      <c r="L446" s="44"/>
      <c r="M446" s="40"/>
      <c r="N446" s="39">
        <f>SUM(K446:M446)</f>
        <v>-47898.5</v>
      </c>
    </row>
    <row r="447" spans="1:14" ht="15.75">
      <c r="A447" s="96" t="s">
        <v>213</v>
      </c>
      <c r="B447" s="43"/>
      <c r="C447" s="40">
        <f>71853.1+21295.4+29102.6+27985.1+457.9+7435.5+9434.1+44.6+670.4+1588.9+164701.5+277.2+84.9+8567+1450+14019.2+50051.9+482.7+129000+4522</f>
        <v>543024</v>
      </c>
      <c r="D447" s="133">
        <v>862.4</v>
      </c>
      <c r="E447" s="119">
        <f>SUM(B447:D447)</f>
        <v>543886.4</v>
      </c>
      <c r="F447" s="144"/>
      <c r="G447" s="133">
        <f>23747.9+54+245.5+310.3+2022.1+335+293.8+2609+1338.6+4.8+57.2+4620-2409.9</f>
        <v>33228.299999999996</v>
      </c>
      <c r="H447" s="133">
        <f t="shared" si="145"/>
        <v>577114.7000000001</v>
      </c>
      <c r="I447" s="40"/>
      <c r="J447" s="40">
        <v>0</v>
      </c>
      <c r="K447" s="119">
        <f t="shared" si="146"/>
        <v>577114.7000000001</v>
      </c>
      <c r="L447" s="44"/>
      <c r="M447" s="40"/>
      <c r="N447" s="39">
        <f>SUM(K447:M447)</f>
        <v>577114.7000000001</v>
      </c>
    </row>
    <row r="448" spans="1:11" ht="15" thickBot="1">
      <c r="A448" s="98" t="s">
        <v>262</v>
      </c>
      <c r="B448" s="132"/>
      <c r="C448" s="131"/>
      <c r="D448" s="131"/>
      <c r="E448" s="134"/>
      <c r="F448" s="145">
        <v>3000</v>
      </c>
      <c r="G448" s="158"/>
      <c r="H448" s="162">
        <f t="shared" si="145"/>
        <v>3000</v>
      </c>
      <c r="I448" s="146"/>
      <c r="J448" s="146"/>
      <c r="K448" s="137">
        <f t="shared" si="146"/>
        <v>3000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1968503937007874" right="0.1968503937007874" top="0.7874015748031497" bottom="0.7874015748031497" header="0.5118110236220472" footer="0.31496062992125984"/>
  <pageSetup horizontalDpi="600" verticalDpi="600" orientation="portrait" paperSize="9" scale="94" r:id="rId1"/>
  <headerFooter alignWithMargins="0">
    <oddFooter>&amp;CStránka &amp;P</oddFooter>
  </headerFooter>
  <rowBreaks count="5" manualBreakCount="5">
    <brk id="81" max="255" man="1"/>
    <brk id="149" max="10" man="1"/>
    <brk id="215" max="10" man="1"/>
    <brk id="294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2010-08-25T05:52:08Z</cp:lastPrinted>
  <dcterms:created xsi:type="dcterms:W3CDTF">2009-01-05T12:05:07Z</dcterms:created>
  <dcterms:modified xsi:type="dcterms:W3CDTF">2010-08-25T10:51:18Z</dcterms:modified>
  <cp:category/>
  <cp:version/>
  <cp:contentType/>
  <cp:contentStatus/>
</cp:coreProperties>
</file>