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1"/>
  </bookViews>
  <sheets>
    <sheet name="1.ZR" sheetId="1" r:id="rId1"/>
    <sheet name="1.ZR vč. PN" sheetId="2" r:id="rId2"/>
  </sheets>
  <definedNames>
    <definedName name="_xlnm.Print_Titles" localSheetId="0">'1.ZR'!$8:$9</definedName>
    <definedName name="_xlnm.Print_Titles" localSheetId="1">'1.ZR vč. PN'!$8:$9</definedName>
    <definedName name="_xlnm.Print_Area" localSheetId="0">'1.ZR'!$A$1:$F$504</definedName>
    <definedName name="_xlnm.Print_Area" localSheetId="1">'1.ZR vč. PN'!$A$1:$F$504</definedName>
    <definedName name="Z_39FD50E0_9911_4D32_8842_5A58F13D310F_.wvu.Cols" localSheetId="0" hidden="1">'1.ZR'!$D:$K,'1.ZR'!$N:$N,'1.ZR'!#REF!</definedName>
    <definedName name="Z_39FD50E0_9911_4D32_8842_5A58F13D310F_.wvu.Cols" localSheetId="1" hidden="1">'1.ZR vč. PN'!$D:$K,'1.ZR vč. PN'!$N:$N,'1.ZR vč. PN'!#REF!</definedName>
    <definedName name="Z_39FD50E0_9911_4D32_8842_5A58F13D310F_.wvu.PrintTitles" localSheetId="0" hidden="1">'1.ZR'!$8:$9</definedName>
    <definedName name="Z_39FD50E0_9911_4D32_8842_5A58F13D310F_.wvu.PrintTitles" localSheetId="1" hidden="1">'1.ZR vč. PN'!$8:$9</definedName>
    <definedName name="Z_39FD50E0_9911_4D32_8842_5A58F13D310F_.wvu.Rows" localSheetId="0" hidden="1">'1.ZR'!#REF!</definedName>
    <definedName name="Z_39FD50E0_9911_4D32_8842_5A58F13D310F_.wvu.Rows" localSheetId="1" hidden="1">'1.ZR vč. PN'!#REF!</definedName>
  </definedNames>
  <calcPr fullCalcOnLoad="1"/>
</workbook>
</file>

<file path=xl/sharedStrings.xml><?xml version="1.0" encoding="utf-8"?>
<sst xmlns="http://schemas.openxmlformats.org/spreadsheetml/2006/main" count="1078" uniqueCount="351">
  <si>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</si>
  <si>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</si>
  <si>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</si>
  <si>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</si>
  <si>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</si>
  <si>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</si>
  <si>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</si>
  <si>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</si>
  <si>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</si>
  <si>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</si>
  <si>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</si>
  <si>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</si>
  <si>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</si>
  <si>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</si>
  <si>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</si>
  <si>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</si>
  <si>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</si>
  <si>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</si>
  <si>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</si>
  <si>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</si>
  <si>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</si>
  <si>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</si>
  <si>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splátky půjčených prostředků</t>
  </si>
  <si>
    <t>splátky půjčených prostředků od obcí</t>
  </si>
  <si>
    <t xml:space="preserve">platby za odebr. mn.podzemní vody </t>
  </si>
  <si>
    <t>nedaňové příjmy odvětví školství</t>
  </si>
  <si>
    <t>nedaňové příjmy odv.evropské integrace</t>
  </si>
  <si>
    <t>odvody PO</t>
  </si>
  <si>
    <t xml:space="preserve">    v tom odvětví: školství</t>
  </si>
  <si>
    <t xml:space="preserve">                        zdravotnictví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</si>
  <si>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</si>
  <si>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</si>
  <si>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</si>
  <si>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</si>
  <si>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</si>
  <si>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</si>
  <si>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</si>
  <si>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</si>
  <si>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</si>
  <si>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</si>
  <si>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</si>
  <si>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</si>
  <si>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</si>
  <si>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</si>
  <si>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</si>
  <si>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</si>
  <si>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</si>
  <si>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</si>
  <si>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</si>
  <si>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</si>
  <si>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</si>
  <si>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</si>
  <si>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</si>
  <si>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</si>
  <si>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</si>
  <si>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</si>
  <si>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</si>
  <si>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investiční transfery ze SR prostř.čerp.účtů</t>
  </si>
  <si>
    <t xml:space="preserve">  odvětví sociálních věcí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</si>
  <si>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</si>
  <si>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</si>
  <si>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</si>
  <si>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</si>
  <si>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</si>
  <si>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</si>
  <si>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</si>
  <si>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</si>
  <si>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</si>
  <si>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</si>
  <si>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</si>
  <si>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</si>
  <si>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</si>
  <si>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</si>
  <si>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</si>
  <si>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</si>
  <si>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</si>
  <si>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</si>
  <si>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</si>
  <si>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</si>
  <si>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</si>
  <si>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</si>
  <si>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</si>
  <si>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</si>
  <si>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</si>
  <si>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</si>
  <si>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</si>
  <si>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</si>
  <si>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</si>
  <si>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</si>
  <si>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</si>
  <si>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</si>
  <si>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</si>
  <si>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</si>
  <si>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</si>
  <si>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</si>
  <si>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</si>
  <si>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</si>
  <si>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</si>
  <si>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</si>
  <si>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program obnovy venkova</t>
  </si>
  <si>
    <t>kap. 14 - školství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</si>
  <si>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</si>
  <si>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</si>
  <si>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</si>
  <si>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</si>
  <si>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zpřístupnění DVPP ZŠ 1.st. - SR</t>
  </si>
  <si>
    <t>podp.výuky méně vyuč.cizích jazyků - SR</t>
  </si>
  <si>
    <t>kompenzační pomůcky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</si>
  <si>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</si>
  <si>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</si>
  <si>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</si>
  <si>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</si>
  <si>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</si>
  <si>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</si>
  <si>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</si>
  <si>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</si>
  <si>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</si>
  <si>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</si>
  <si>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</si>
  <si>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</si>
  <si>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</si>
  <si>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</si>
  <si>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</si>
  <si>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</si>
  <si>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</si>
  <si>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</si>
  <si>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</si>
  <si>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</si>
  <si>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</si>
  <si>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</si>
  <si>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</si>
  <si>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</si>
  <si>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</si>
  <si>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</si>
  <si>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</si>
  <si>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</si>
  <si>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</si>
  <si>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</si>
  <si>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</si>
  <si>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</si>
  <si>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</si>
  <si>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</si>
  <si>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</si>
  <si>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</si>
  <si>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</si>
  <si>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</si>
  <si>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</si>
  <si>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</si>
  <si>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</si>
  <si>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</si>
  <si>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</si>
  <si>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</si>
  <si>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</si>
  <si>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</si>
  <si>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</si>
  <si>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</si>
  <si>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</si>
  <si>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</si>
  <si>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</si>
  <si>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</si>
  <si>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</si>
  <si>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</si>
  <si>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</si>
  <si>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</si>
  <si>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</si>
  <si>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</si>
  <si>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>projekt Regionální inst.ambul.psychos.sl.- RRRS SV</t>
  </si>
  <si>
    <t xml:space="preserve">  z MDO</t>
  </si>
  <si>
    <t>úhrada ztráty ve veřejné železniční os.dopravě - SR</t>
  </si>
  <si>
    <t>příjmy z pronájmu majetku - odv.zdravotnictví</t>
  </si>
  <si>
    <t>kap. 49 - Regionální inovační fond KHK</t>
  </si>
  <si>
    <t>OPVK 1.4 - zlepšení podm.pro vzděl.na ZŠ - SR</t>
  </si>
  <si>
    <t>OP LZZ - vzdělávání v eGON centrech krajů - SR</t>
  </si>
  <si>
    <t>nedaňové příjmy odvětví zdravotnictví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</si>
  <si>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</si>
  <si>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</si>
  <si>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</si>
  <si>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neinvestiční půjčené prostředky </t>
  </si>
  <si>
    <t>příjmy z pronájmu majetku -  odvětví doprava</t>
  </si>
  <si>
    <t>nedaňové příjmy odvětví činnost krajského úřadu</t>
  </si>
  <si>
    <t>nedaňové příjmy odvětví správa majetku kraje</t>
  </si>
  <si>
    <t>nedaňové příjmy odvětví doprava</t>
  </si>
  <si>
    <t>nedaňové příjmy odvětví životní prostředí</t>
  </si>
  <si>
    <t>nedaňové příjmy odvětví soc.věci</t>
  </si>
  <si>
    <t xml:space="preserve">                        doprava</t>
  </si>
  <si>
    <t xml:space="preserve">                        kultura</t>
  </si>
  <si>
    <t xml:space="preserve">                        soc.věci</t>
  </si>
  <si>
    <t xml:space="preserve">  odvětví doprava</t>
  </si>
  <si>
    <t>zapojení zůstatku sociálního fondu z min.let</t>
  </si>
  <si>
    <t>zajiš.podm.zákl.vzděl.nezlet.azyl.na území ČR - SR</t>
  </si>
  <si>
    <t>část.kompenz.výdajů vzniklých při real.společ.maturit-SR</t>
  </si>
  <si>
    <t>kontaktní centrum a terénní služby na malém městě-SR</t>
  </si>
  <si>
    <t xml:space="preserve">  z MŽP</t>
  </si>
  <si>
    <t xml:space="preserve">  z SFŽP</t>
  </si>
  <si>
    <t>OP LZZ - zvýš.kvality řízení v úřadech úz.veř.spr.-SR</t>
  </si>
  <si>
    <t>Dobrovolnictví na Náchodsku - SR</t>
  </si>
  <si>
    <t>neinvestiční dotace Krajskému ředitelství policie KHK</t>
  </si>
  <si>
    <t>neinvestiční dar Krajskému ředitelství policie KHK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</si>
  <si>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</si>
  <si>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</si>
  <si>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</si>
  <si>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</si>
  <si>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</si>
  <si>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</si>
  <si>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</si>
  <si>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</si>
  <si>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</si>
  <si>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</si>
  <si>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</si>
  <si>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</si>
  <si>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OPVK 1.5 - zlepšení podm.pro vzděl.na SŠ - SR</t>
  </si>
  <si>
    <t>excelence středních škol - SR</t>
  </si>
  <si>
    <t>kap. 21 - investice a evropské projekty</t>
  </si>
  <si>
    <t>kap. 48 - Dotační fond KHK</t>
  </si>
  <si>
    <t>kap. 13 - evropská integrace a globální granty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</si>
  <si>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</si>
  <si>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</si>
  <si>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</si>
  <si>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</si>
  <si>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</si>
  <si>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</si>
  <si>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</si>
  <si>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 xml:space="preserve">rezerva - a. s. </t>
  </si>
  <si>
    <t>energetika</t>
  </si>
  <si>
    <t>EPC</t>
  </si>
  <si>
    <t>kapitál.výd. - energetika</t>
  </si>
  <si>
    <t xml:space="preserve">                 činnost KÚ</t>
  </si>
  <si>
    <t xml:space="preserve">                 kultura</t>
  </si>
  <si>
    <t>ÚZ</t>
  </si>
  <si>
    <t>ÚZ 70</t>
  </si>
  <si>
    <t>org. 21</t>
  </si>
  <si>
    <t xml:space="preserve">OP VK 5.1. - Technická pomoc - administrace 2 - SR </t>
  </si>
  <si>
    <t>podpora soc.znevýh.romských žáků SŠ a stud.VOŠ - SR</t>
  </si>
  <si>
    <t xml:space="preserve">OP LZZ - rozvoj lektorského týmu - SR 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</si>
  <si>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</si>
  <si>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</si>
  <si>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</si>
  <si>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                      - CIRI - centrum sdíl.služeb</t>
  </si>
  <si>
    <t xml:space="preserve">             kultura</t>
  </si>
  <si>
    <t>kap. 39 - regionální rozvoj a cestovní ruch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</si>
  <si>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</si>
  <si>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</si>
  <si>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</si>
  <si>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    zdravotnictví</t>
  </si>
  <si>
    <t xml:space="preserve">             zdravotnictví</t>
  </si>
  <si>
    <t xml:space="preserve">                 CIRI, PO</t>
  </si>
  <si>
    <t xml:space="preserve">  v tom: životní prostředí a zemědělství</t>
  </si>
  <si>
    <t xml:space="preserve">            vrcholový sport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</si>
  <si>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</si>
  <si>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</si>
  <si>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</si>
  <si>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</si>
  <si>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</si>
  <si>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 xml:space="preserve">  odvětví - ostatní</t>
  </si>
  <si>
    <t>HZS KHK - Rekonstr.stadionu pro požární sport v HK</t>
  </si>
  <si>
    <t>HZS KHK - Požární stanice a ZZS Vrchlabí</t>
  </si>
  <si>
    <t xml:space="preserve">rezerva </t>
  </si>
  <si>
    <t>odstraňování škod po povodních v červnu 2013 - SR</t>
  </si>
  <si>
    <t>zvýšení platů pracovníků region. školství - SR</t>
  </si>
  <si>
    <t>podpora školních psychologů a sp.pedagogů - SR</t>
  </si>
  <si>
    <t>podpora logopedické prevence v předš.vzděl. - SR</t>
  </si>
  <si>
    <t xml:space="preserve">                 správa majetku kraje</t>
  </si>
  <si>
    <t>Průmyslová zóna Kvasiny III.</t>
  </si>
  <si>
    <t xml:space="preserve"> </t>
  </si>
  <si>
    <t>příjmy z pronájmu majetku -  odvětví správa majetku kraje</t>
  </si>
  <si>
    <t xml:space="preserve">  z Úřadu práce</t>
  </si>
  <si>
    <t>odborná praxe pro mladé do 30 let v KHK - z Úřadu práce</t>
  </si>
  <si>
    <t>bezplatná výuka ČJ přizpůs.potřebám žáků-cizinců - SR</t>
  </si>
  <si>
    <t>OP LZZ projekty PO - SR</t>
  </si>
  <si>
    <t>regionální rozvoj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</si>
  <si>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</si>
  <si>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</si>
  <si>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</si>
  <si>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</si>
  <si>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</si>
  <si>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</si>
  <si>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</si>
  <si>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</si>
  <si>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školství - vzdělávání a prevence</t>
  </si>
  <si>
    <t xml:space="preserve">            kultura a památková péče</t>
  </si>
  <si>
    <t xml:space="preserve">            individuální dotace</t>
  </si>
  <si>
    <t xml:space="preserve">             činnost KÚ</t>
  </si>
  <si>
    <t xml:space="preserve">             regionální rozvoj a CR</t>
  </si>
  <si>
    <t>Snížení emisí z lokál.vytápění domácností v KHK - SR</t>
  </si>
  <si>
    <t>financování asistentů pedagoga - modul A - SR</t>
  </si>
  <si>
    <t>financování asistentů pedagoga - modul B - SR</t>
  </si>
  <si>
    <t xml:space="preserve">                        investice a evrop.projekty</t>
  </si>
  <si>
    <t>majetková účast v a.s. Zdravotnický holding</t>
  </si>
  <si>
    <t>individuální dotace</t>
  </si>
  <si>
    <t>33122  33163</t>
  </si>
  <si>
    <t xml:space="preserve">            volný čas</t>
  </si>
  <si>
    <t xml:space="preserve">  z M obrany</t>
  </si>
  <si>
    <t>výstavba válečného hrobu obětí prusko-rakouské války-SR</t>
  </si>
  <si>
    <t>podpora odborného vzdělávání - SR</t>
  </si>
  <si>
    <t>Digitální planetárium - zásobník na chlad</t>
  </si>
  <si>
    <t>nedaňové příjmy odvětví dotační fond</t>
  </si>
  <si>
    <t>Saldo příjmů a výdajů</t>
  </si>
  <si>
    <t xml:space="preserve">   v tom: CIRI, PO</t>
  </si>
  <si>
    <t>průmyslová zóna Kvasiny III.</t>
  </si>
  <si>
    <t>průmyslová zóna Kvasiny</t>
  </si>
  <si>
    <t>NA ROK 2017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</si>
  <si>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</si>
  <si>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</si>
  <si>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</si>
  <si>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</si>
  <si>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</si>
  <si>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</si>
  <si>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</si>
  <si>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</si>
  <si>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</si>
  <si>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dotace na činnost - SR</t>
  </si>
  <si>
    <t>podpora navýšení kapacit ve šk.porad.zařízeních - SR</t>
  </si>
  <si>
    <t xml:space="preserve">2GG 1.1.OPVK-Zvyšování kvality ve vzděl.II. - SR </t>
  </si>
  <si>
    <t xml:space="preserve">2GG 1.2.OPVK-Rovné příl.dětí a ž.se sp.potř. II. - SR </t>
  </si>
  <si>
    <t xml:space="preserve">2GG1.3.OPVK-Další vzděl.prac.škol a zař.  II. - SR </t>
  </si>
  <si>
    <t>Akce</t>
  </si>
  <si>
    <t xml:space="preserve">Digitální planetárium - SR </t>
  </si>
  <si>
    <t xml:space="preserve">OP LZZ Podpora soc.integr.obyv.vylouč.lok.v KHK III - SR </t>
  </si>
  <si>
    <t xml:space="preserve">OP LZZ Podpora činnosti orgánu soc.právní ochrany dětí - SR </t>
  </si>
  <si>
    <t xml:space="preserve">             doprava</t>
  </si>
  <si>
    <t>vratky návratné finanční výpomoci</t>
  </si>
  <si>
    <t>výdaje na reprezentační účely</t>
  </si>
  <si>
    <t>Modernizace a dostavba ON Náchod</t>
  </si>
  <si>
    <t>koncepce podpory mládeže na krajské úrovni - SR</t>
  </si>
  <si>
    <t>regionální stálá konference - SR</t>
  </si>
  <si>
    <t>17017, 17018</t>
  </si>
  <si>
    <t xml:space="preserve">    v tom: rezerva investiční</t>
  </si>
  <si>
    <t xml:space="preserve">              poplatky</t>
  </si>
  <si>
    <t xml:space="preserve">                 org. 2088</t>
  </si>
  <si>
    <t xml:space="preserve">                 org. 2077</t>
  </si>
  <si>
    <t xml:space="preserve">                 org. 2099</t>
  </si>
  <si>
    <t>OP Z Rozvoj reg.partnerství v soc.oblasti v KHK - SR 2016</t>
  </si>
  <si>
    <t>OP Z Služby soc.prevence v KHK IV - SR  2016</t>
  </si>
  <si>
    <t>průmyslová zóna Kvasiny - SR</t>
  </si>
  <si>
    <t xml:space="preserve">            školství - vzdělávání </t>
  </si>
  <si>
    <t xml:space="preserve">            školství - prevence</t>
  </si>
  <si>
    <t>OP VVV - Maják - síť kolegiální podpory - SR</t>
  </si>
  <si>
    <t xml:space="preserve">OP Z Služby soc.prevence v KHK IV - SR  </t>
  </si>
  <si>
    <t>investiční transfery a.s.</t>
  </si>
  <si>
    <t>nedaňové příjmy odvětví investice</t>
  </si>
  <si>
    <t>OP VVV - Smart Akcelerátor - SR</t>
  </si>
  <si>
    <t>investiční transfery ZOO Dvůr Králové n. Labem, a.s.</t>
  </si>
  <si>
    <t>OP Z - Zaměstnaný absolvent - SR 2016</t>
  </si>
  <si>
    <t>Krajský akční plán vzdělávání v KHK - SR 2016</t>
  </si>
  <si>
    <t>Snížení emisí z lokál.vytápění domácností v KHK - SR 2016</t>
  </si>
  <si>
    <t xml:space="preserve">             org. 2077</t>
  </si>
  <si>
    <t xml:space="preserve">nedaňové příjmy FRR </t>
  </si>
  <si>
    <t>umoření leasingu RC NP - Immorent</t>
  </si>
  <si>
    <t>OP Z - Predikce trhu práce - Kompas - SR</t>
  </si>
  <si>
    <t>BILANCE PŘÍJMŮ A VÝDAJŮ KRÁLOVÉHRADECKÉHO KRAJE</t>
  </si>
  <si>
    <t>OP Z Rozvoj dostup.a kvality soc.sl.v KHK V - SR 2016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</si>
</sst>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 style="medium"/>
      <right/>
      <top style="medium"/>
      <bottom style="medium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2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2" fillId="0" borderId="12" xfId="38" applyNumberFormat="1" applyFont="1" applyBorder="1" applyAlignment="1">
      <alignment vertical="center"/>
    </xf>
    <xf numFmtId="166" fontId="6" fillId="0" borderId="10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7" fillId="0" borderId="10" xfId="38" applyNumberFormat="1" applyFont="1" applyBorder="1" applyAlignment="1">
      <alignment/>
    </xf>
    <xf numFmtId="166" fontId="0" fillId="0" borderId="14" xfId="38" applyNumberFormat="1" applyFont="1" applyBorder="1" applyAlignment="1">
      <alignment/>
    </xf>
    <xf numFmtId="166" fontId="4" fillId="0" borderId="15" xfId="38" applyNumberFormat="1" applyFont="1" applyBorder="1" applyAlignment="1">
      <alignment/>
    </xf>
    <xf numFmtId="166" fontId="3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4" fillId="0" borderId="16" xfId="38" applyNumberFormat="1" applyFont="1" applyBorder="1" applyAlignment="1">
      <alignment vertical="center"/>
    </xf>
    <xf numFmtId="166" fontId="4" fillId="0" borderId="17" xfId="38" applyNumberFormat="1" applyFont="1" applyBorder="1" applyAlignment="1">
      <alignment vertical="center"/>
    </xf>
    <xf numFmtId="166" fontId="2" fillId="0" borderId="16" xfId="38" applyNumberFormat="1" applyFont="1" applyBorder="1" applyAlignment="1">
      <alignment vertical="center"/>
    </xf>
    <xf numFmtId="166" fontId="2" fillId="0" borderId="17" xfId="38" applyNumberFormat="1" applyFont="1" applyBorder="1" applyAlignment="1">
      <alignment vertical="center"/>
    </xf>
    <xf numFmtId="166" fontId="3" fillId="0" borderId="18" xfId="38" applyNumberFormat="1" applyFont="1" applyBorder="1" applyAlignment="1">
      <alignment vertical="center"/>
    </xf>
    <xf numFmtId="166" fontId="3" fillId="0" borderId="19" xfId="38" applyNumberFormat="1" applyFont="1" applyBorder="1" applyAlignment="1">
      <alignment vertical="center"/>
    </xf>
    <xf numFmtId="166" fontId="3" fillId="0" borderId="20" xfId="38" applyNumberFormat="1" applyFont="1" applyBorder="1" applyAlignment="1">
      <alignment vertical="center"/>
    </xf>
    <xf numFmtId="166" fontId="3" fillId="0" borderId="10" xfId="38" applyNumberFormat="1" applyFont="1" applyBorder="1" applyAlignment="1">
      <alignment vertical="center"/>
    </xf>
    <xf numFmtId="166" fontId="3" fillId="0" borderId="21" xfId="38" applyNumberFormat="1" applyFont="1" applyBorder="1" applyAlignment="1">
      <alignment vertical="center"/>
    </xf>
    <xf numFmtId="166" fontId="3" fillId="0" borderId="22" xfId="38" applyNumberFormat="1" applyFont="1" applyBorder="1" applyAlignment="1">
      <alignment vertical="center"/>
    </xf>
    <xf numFmtId="166" fontId="3" fillId="0" borderId="12" xfId="38" applyNumberFormat="1" applyFont="1" applyBorder="1" applyAlignment="1">
      <alignment vertical="center"/>
    </xf>
    <xf numFmtId="166" fontId="3" fillId="0" borderId="23" xfId="38" applyNumberFormat="1" applyFont="1" applyBorder="1" applyAlignment="1">
      <alignment vertical="center"/>
    </xf>
    <xf numFmtId="166" fontId="3" fillId="0" borderId="24" xfId="38" applyNumberFormat="1" applyFont="1" applyBorder="1" applyAlignment="1">
      <alignment vertical="center"/>
    </xf>
    <xf numFmtId="166" fontId="2" fillId="0" borderId="18" xfId="38" applyNumberFormat="1" applyFont="1" applyBorder="1" applyAlignment="1">
      <alignment vertical="center"/>
    </xf>
    <xf numFmtId="166" fontId="2" fillId="0" borderId="19" xfId="38" applyNumberFormat="1" applyFont="1" applyBorder="1" applyAlignment="1">
      <alignment vertical="center"/>
    </xf>
    <xf numFmtId="166" fontId="2" fillId="0" borderId="20" xfId="38" applyNumberFormat="1" applyFont="1" applyBorder="1" applyAlignment="1">
      <alignment vertical="center"/>
    </xf>
    <xf numFmtId="166" fontId="2" fillId="0" borderId="25" xfId="38" applyNumberFormat="1" applyFont="1" applyBorder="1" applyAlignment="1">
      <alignment vertical="center"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6" fontId="3" fillId="0" borderId="26" xfId="38" applyNumberFormat="1" applyFont="1" applyBorder="1" applyAlignment="1">
      <alignment vertical="center"/>
    </xf>
    <xf numFmtId="166" fontId="4" fillId="0" borderId="26" xfId="38" applyNumberFormat="1" applyFont="1" applyBorder="1" applyAlignment="1">
      <alignment vertical="center"/>
    </xf>
    <xf numFmtId="166" fontId="2" fillId="0" borderId="26" xfId="38" applyNumberFormat="1" applyFont="1" applyBorder="1" applyAlignment="1">
      <alignment vertical="center"/>
    </xf>
    <xf numFmtId="166" fontId="2" fillId="0" borderId="22" xfId="38" applyNumberFormat="1" applyFont="1" applyBorder="1" applyAlignment="1">
      <alignment vertical="center"/>
    </xf>
    <xf numFmtId="166" fontId="8" fillId="0" borderId="22" xfId="38" applyNumberFormat="1" applyFont="1" applyBorder="1" applyAlignment="1">
      <alignment vertical="center"/>
    </xf>
    <xf numFmtId="165" fontId="4" fillId="0" borderId="20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65" fontId="4" fillId="0" borderId="19" xfId="38" applyNumberFormat="1" applyFont="1" applyBorder="1" applyAlignment="1">
      <alignment horizontal="center"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2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7" xfId="38" applyNumberFormat="1" applyFont="1" applyBorder="1" applyAlignment="1">
      <alignment/>
    </xf>
    <xf numFmtId="166" fontId="0" fillId="0" borderId="28" xfId="38" applyNumberFormat="1" applyFont="1" applyBorder="1" applyAlignment="1">
      <alignment/>
    </xf>
    <xf numFmtId="166" fontId="2" fillId="0" borderId="24" xfId="38" applyNumberFormat="1" applyFont="1" applyBorder="1" applyAlignment="1">
      <alignment vertical="center"/>
    </xf>
    <xf numFmtId="166" fontId="2" fillId="0" borderId="23" xfId="38" applyNumberFormat="1" applyFont="1" applyBorder="1" applyAlignment="1">
      <alignment vertical="center"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0" fillId="0" borderId="29" xfId="38" applyNumberFormat="1" applyFont="1" applyBorder="1" applyAlignment="1">
      <alignment/>
    </xf>
    <xf numFmtId="166" fontId="4" fillId="0" borderId="30" xfId="38" applyNumberFormat="1" applyFont="1" applyBorder="1" applyAlignment="1">
      <alignment/>
    </xf>
    <xf numFmtId="165" fontId="4" fillId="0" borderId="22" xfId="38" applyNumberFormat="1" applyFont="1" applyBorder="1" applyAlignment="1">
      <alignment horizontal="center"/>
    </xf>
    <xf numFmtId="166" fontId="0" fillId="0" borderId="22" xfId="38" applyNumberFormat="1" applyFont="1" applyFill="1" applyBorder="1" applyAlignment="1">
      <alignment/>
    </xf>
    <xf numFmtId="166" fontId="0" fillId="0" borderId="22" xfId="38" applyNumberFormat="1" applyFont="1" applyBorder="1" applyAlignment="1">
      <alignment/>
    </xf>
    <xf numFmtId="3" fontId="4" fillId="0" borderId="31" xfId="0" applyFont="1" applyBorder="1" applyAlignment="1">
      <alignment/>
    </xf>
    <xf numFmtId="3" fontId="5" fillId="0" borderId="31" xfId="0" applyFont="1" applyBorder="1" applyAlignment="1">
      <alignment/>
    </xf>
    <xf numFmtId="3" fontId="0" fillId="0" borderId="31" xfId="0" applyFont="1" applyBorder="1" applyAlignment="1">
      <alignment/>
    </xf>
    <xf numFmtId="3" fontId="0" fillId="0" borderId="31" xfId="0" applyBorder="1" applyAlignment="1">
      <alignment/>
    </xf>
    <xf numFmtId="3" fontId="4" fillId="0" borderId="31" xfId="0" applyFont="1" applyBorder="1" applyAlignment="1">
      <alignment/>
    </xf>
    <xf numFmtId="3" fontId="5" fillId="0" borderId="31" xfId="0" applyFont="1" applyBorder="1" applyAlignment="1">
      <alignment/>
    </xf>
    <xf numFmtId="3" fontId="0" fillId="0" borderId="32" xfId="0" applyBorder="1" applyAlignment="1">
      <alignment/>
    </xf>
    <xf numFmtId="3" fontId="0" fillId="0" borderId="31" xfId="0" applyFont="1" applyBorder="1" applyAlignment="1">
      <alignment/>
    </xf>
    <xf numFmtId="3" fontId="2" fillId="0" borderId="33" xfId="0" applyFont="1" applyBorder="1" applyAlignment="1">
      <alignment vertical="center"/>
    </xf>
    <xf numFmtId="3" fontId="6" fillId="0" borderId="31" xfId="0" applyFont="1" applyBorder="1" applyAlignment="1">
      <alignment/>
    </xf>
    <xf numFmtId="3" fontId="6" fillId="0" borderId="31" xfId="0" applyFont="1" applyBorder="1" applyAlignment="1">
      <alignment/>
    </xf>
    <xf numFmtId="3" fontId="0" fillId="0" borderId="32" xfId="0" applyFont="1" applyBorder="1" applyAlignment="1">
      <alignment/>
    </xf>
    <xf numFmtId="3" fontId="7" fillId="0" borderId="31" xfId="0" applyFont="1" applyBorder="1" applyAlignment="1">
      <alignment/>
    </xf>
    <xf numFmtId="3" fontId="7" fillId="0" borderId="32" xfId="0" applyFont="1" applyBorder="1" applyAlignment="1">
      <alignment/>
    </xf>
    <xf numFmtId="3" fontId="0" fillId="0" borderId="32" xfId="0" applyFont="1" applyBorder="1" applyAlignment="1">
      <alignment/>
    </xf>
    <xf numFmtId="3" fontId="4" fillId="0" borderId="31" xfId="0" applyFont="1" applyFill="1" applyBorder="1" applyAlignment="1">
      <alignment/>
    </xf>
    <xf numFmtId="3" fontId="0" fillId="0" borderId="31" xfId="0" applyFill="1" applyBorder="1" applyAlignment="1">
      <alignment/>
    </xf>
    <xf numFmtId="3" fontId="4" fillId="0" borderId="33" xfId="0" applyFont="1" applyBorder="1" applyAlignment="1">
      <alignment/>
    </xf>
    <xf numFmtId="3" fontId="3" fillId="0" borderId="34" xfId="0" applyFont="1" applyBorder="1" applyAlignment="1">
      <alignment vertical="center"/>
    </xf>
    <xf numFmtId="3" fontId="4" fillId="0" borderId="34" xfId="0" applyFont="1" applyBorder="1" applyAlignment="1">
      <alignment vertical="center"/>
    </xf>
    <xf numFmtId="3" fontId="2" fillId="0" borderId="34" xfId="0" applyFont="1" applyBorder="1" applyAlignment="1">
      <alignment vertical="center"/>
    </xf>
    <xf numFmtId="3" fontId="2" fillId="0" borderId="35" xfId="0" applyFont="1" applyBorder="1" applyAlignment="1">
      <alignment vertical="center"/>
    </xf>
    <xf numFmtId="3" fontId="2" fillId="0" borderId="31" xfId="0" applyFont="1" applyBorder="1" applyAlignment="1">
      <alignment vertical="center"/>
    </xf>
    <xf numFmtId="3" fontId="0" fillId="0" borderId="31" xfId="0" applyFont="1" applyBorder="1" applyAlignment="1">
      <alignment vertical="center"/>
    </xf>
    <xf numFmtId="3" fontId="0" fillId="0" borderId="31" xfId="0" applyBorder="1" applyAlignment="1">
      <alignment vertical="center"/>
    </xf>
    <xf numFmtId="3" fontId="7" fillId="0" borderId="31" xfId="0" applyFont="1" applyBorder="1" applyAlignment="1">
      <alignment/>
    </xf>
    <xf numFmtId="3" fontId="4" fillId="0" borderId="31" xfId="0" applyFont="1" applyBorder="1" applyAlignment="1">
      <alignment horizontal="left" vertical="center"/>
    </xf>
    <xf numFmtId="165" fontId="4" fillId="0" borderId="21" xfId="38" applyNumberFormat="1" applyFont="1" applyBorder="1" applyAlignment="1">
      <alignment horizontal="center"/>
    </xf>
    <xf numFmtId="165" fontId="4" fillId="0" borderId="24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6" fontId="8" fillId="0" borderId="21" xfId="38" applyNumberFormat="1" applyFont="1" applyBorder="1" applyAlignment="1">
      <alignment vertical="center"/>
    </xf>
    <xf numFmtId="3" fontId="45" fillId="0" borderId="0" xfId="0" applyFont="1" applyAlignment="1">
      <alignment/>
    </xf>
    <xf numFmtId="166" fontId="8" fillId="0" borderId="23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166" fontId="4" fillId="0" borderId="13" xfId="38" applyNumberFormat="1" applyFont="1" applyBorder="1" applyAlignment="1">
      <alignment/>
    </xf>
    <xf numFmtId="166" fontId="8" fillId="0" borderId="24" xfId="38" applyNumberFormat="1" applyFont="1" applyBorder="1" applyAlignment="1">
      <alignment vertical="center"/>
    </xf>
    <xf numFmtId="166" fontId="3" fillId="0" borderId="13" xfId="38" applyNumberFormat="1" applyFont="1" applyBorder="1" applyAlignment="1">
      <alignment vertical="center"/>
    </xf>
    <xf numFmtId="3" fontId="0" fillId="0" borderId="33" xfId="0" applyBorder="1" applyAlignment="1">
      <alignment vertical="center"/>
    </xf>
    <xf numFmtId="166" fontId="0" fillId="0" borderId="11" xfId="38" applyNumberFormat="1" applyFont="1" applyFill="1" applyBorder="1" applyAlignment="1">
      <alignment/>
    </xf>
    <xf numFmtId="166" fontId="4" fillId="0" borderId="30" xfId="38" applyNumberFormat="1" applyFont="1" applyBorder="1" applyAlignment="1">
      <alignment/>
    </xf>
    <xf numFmtId="166" fontId="6" fillId="0" borderId="30" xfId="38" applyNumberFormat="1" applyFont="1" applyBorder="1" applyAlignment="1">
      <alignment/>
    </xf>
    <xf numFmtId="166" fontId="3" fillId="0" borderId="36" xfId="38" applyNumberFormat="1" applyFont="1" applyBorder="1" applyAlignment="1">
      <alignment vertical="center"/>
    </xf>
    <xf numFmtId="166" fontId="2" fillId="0" borderId="36" xfId="38" applyNumberFormat="1" applyFont="1" applyBorder="1" applyAlignment="1">
      <alignment vertical="center"/>
    </xf>
    <xf numFmtId="166" fontId="3" fillId="0" borderId="30" xfId="38" applyNumberFormat="1" applyFont="1" applyBorder="1" applyAlignment="1">
      <alignment vertical="center"/>
    </xf>
    <xf numFmtId="166" fontId="3" fillId="0" borderId="37" xfId="38" applyNumberFormat="1" applyFont="1" applyBorder="1" applyAlignment="1">
      <alignment vertical="center"/>
    </xf>
    <xf numFmtId="3" fontId="46" fillId="0" borderId="0" xfId="0" applyFont="1" applyAlignment="1">
      <alignment/>
    </xf>
    <xf numFmtId="3" fontId="7" fillId="0" borderId="29" xfId="0" applyFont="1" applyBorder="1" applyAlignment="1">
      <alignment/>
    </xf>
    <xf numFmtId="166" fontId="0" fillId="0" borderId="38" xfId="38" applyNumberFormat="1" applyFont="1" applyBorder="1" applyAlignment="1">
      <alignment/>
    </xf>
    <xf numFmtId="166" fontId="0" fillId="0" borderId="30" xfId="38" applyNumberFormat="1" applyFont="1" applyBorder="1" applyAlignment="1">
      <alignment/>
    </xf>
    <xf numFmtId="166" fontId="6" fillId="0" borderId="15" xfId="38" applyNumberFormat="1" applyFont="1" applyBorder="1" applyAlignment="1">
      <alignment/>
    </xf>
    <xf numFmtId="165" fontId="4" fillId="0" borderId="25" xfId="38" applyNumberFormat="1" applyFont="1" applyBorder="1" applyAlignment="1">
      <alignment horizontal="center"/>
    </xf>
    <xf numFmtId="165" fontId="4" fillId="0" borderId="37" xfId="38" applyNumberFormat="1" applyFont="1" applyBorder="1" applyAlignment="1">
      <alignment horizontal="center"/>
    </xf>
    <xf numFmtId="166" fontId="6" fillId="0" borderId="30" xfId="38" applyNumberFormat="1" applyFont="1" applyBorder="1" applyAlignment="1">
      <alignment/>
    </xf>
    <xf numFmtId="166" fontId="4" fillId="0" borderId="39" xfId="38" applyNumberFormat="1" applyFont="1" applyBorder="1" applyAlignment="1">
      <alignment/>
    </xf>
    <xf numFmtId="166" fontId="0" fillId="0" borderId="27" xfId="38" applyNumberFormat="1" applyFont="1" applyFill="1" applyBorder="1" applyAlignment="1">
      <alignment/>
    </xf>
    <xf numFmtId="166" fontId="4" fillId="0" borderId="28" xfId="38" applyNumberFormat="1" applyFont="1" applyBorder="1" applyAlignment="1">
      <alignment/>
    </xf>
    <xf numFmtId="3" fontId="0" fillId="0" borderId="22" xfId="0" applyBorder="1" applyAlignment="1">
      <alignment/>
    </xf>
    <xf numFmtId="3" fontId="0" fillId="0" borderId="30" xfId="0" applyBorder="1" applyAlignment="1">
      <alignment/>
    </xf>
    <xf numFmtId="167" fontId="4" fillId="0" borderId="30" xfId="0" applyNumberFormat="1" applyFont="1" applyBorder="1" applyAlignment="1">
      <alignment/>
    </xf>
    <xf numFmtId="167" fontId="0" fillId="0" borderId="30" xfId="0" applyNumberFormat="1" applyBorder="1" applyAlignment="1">
      <alignment/>
    </xf>
    <xf numFmtId="167" fontId="0" fillId="0" borderId="37" xfId="0" applyNumberFormat="1" applyBorder="1" applyAlignment="1">
      <alignment/>
    </xf>
    <xf numFmtId="167" fontId="0" fillId="0" borderId="22" xfId="0" applyNumberFormat="1" applyBorder="1" applyAlignment="1">
      <alignment/>
    </xf>
    <xf numFmtId="167" fontId="4" fillId="0" borderId="22" xfId="38" applyNumberFormat="1" applyFont="1" applyBorder="1" applyAlignment="1">
      <alignment/>
    </xf>
    <xf numFmtId="167" fontId="0" fillId="0" borderId="22" xfId="38" applyNumberFormat="1" applyFont="1" applyBorder="1" applyAlignment="1">
      <alignment/>
    </xf>
    <xf numFmtId="167" fontId="4" fillId="0" borderId="22" xfId="38" applyNumberFormat="1" applyFont="1" applyBorder="1" applyAlignment="1">
      <alignment/>
    </xf>
    <xf numFmtId="167" fontId="2" fillId="0" borderId="24" xfId="38" applyNumberFormat="1" applyFont="1" applyBorder="1" applyAlignment="1">
      <alignment vertical="center"/>
    </xf>
    <xf numFmtId="167" fontId="6" fillId="0" borderId="22" xfId="38" applyNumberFormat="1" applyFont="1" applyBorder="1" applyAlignment="1">
      <alignment/>
    </xf>
    <xf numFmtId="167" fontId="6" fillId="0" borderId="22" xfId="38" applyNumberFormat="1" applyFont="1" applyBorder="1" applyAlignment="1">
      <alignment/>
    </xf>
    <xf numFmtId="167" fontId="3" fillId="0" borderId="26" xfId="38" applyNumberFormat="1" applyFont="1" applyBorder="1" applyAlignment="1">
      <alignment vertical="center"/>
    </xf>
    <xf numFmtId="167" fontId="2" fillId="0" borderId="26" xfId="38" applyNumberFormat="1" applyFont="1" applyBorder="1" applyAlignment="1">
      <alignment vertical="center"/>
    </xf>
    <xf numFmtId="167" fontId="3" fillId="0" borderId="22" xfId="38" applyNumberFormat="1" applyFont="1" applyBorder="1" applyAlignment="1">
      <alignment vertical="center"/>
    </xf>
    <xf numFmtId="167" fontId="3" fillId="0" borderId="24" xfId="38" applyNumberFormat="1" applyFont="1" applyBorder="1" applyAlignment="1">
      <alignment vertical="center"/>
    </xf>
    <xf numFmtId="167" fontId="2" fillId="0" borderId="20" xfId="38" applyNumberFormat="1" applyFont="1" applyBorder="1" applyAlignment="1">
      <alignment vertical="center"/>
    </xf>
    <xf numFmtId="167" fontId="0" fillId="0" borderId="24" xfId="0" applyNumberFormat="1" applyBorder="1" applyAlignment="1">
      <alignment/>
    </xf>
    <xf numFmtId="167" fontId="0" fillId="0" borderId="27" xfId="0" applyNumberFormat="1" applyBorder="1" applyAlignment="1">
      <alignment/>
    </xf>
    <xf numFmtId="167" fontId="0" fillId="0" borderId="38" xfId="0" applyNumberFormat="1" applyBorder="1" applyAlignment="1">
      <alignment/>
    </xf>
    <xf numFmtId="167" fontId="0" fillId="33" borderId="22" xfId="0" applyNumberFormat="1" applyFill="1" applyBorder="1" applyAlignment="1">
      <alignment/>
    </xf>
    <xf numFmtId="166" fontId="0" fillId="0" borderId="0" xfId="38" applyNumberFormat="1" applyFont="1" applyBorder="1" applyAlignment="1">
      <alignment/>
    </xf>
    <xf numFmtId="166" fontId="3" fillId="0" borderId="40" xfId="38" applyNumberFormat="1" applyFont="1" applyBorder="1" applyAlignment="1">
      <alignment vertical="center"/>
    </xf>
    <xf numFmtId="166" fontId="3" fillId="0" borderId="0" xfId="38" applyNumberFormat="1" applyFont="1" applyBorder="1" applyAlignment="1">
      <alignment vertical="center"/>
    </xf>
    <xf numFmtId="166" fontId="3" fillId="0" borderId="41" xfId="38" applyNumberFormat="1" applyFont="1" applyBorder="1" applyAlignment="1">
      <alignment vertical="center"/>
    </xf>
    <xf numFmtId="166" fontId="3" fillId="0" borderId="42" xfId="38" applyNumberFormat="1" applyFont="1" applyBorder="1" applyAlignment="1">
      <alignment vertical="center"/>
    </xf>
    <xf numFmtId="166" fontId="4" fillId="0" borderId="42" xfId="38" applyNumberFormat="1" applyFont="1" applyBorder="1" applyAlignment="1">
      <alignment vertical="center"/>
    </xf>
    <xf numFmtId="166" fontId="2" fillId="0" borderId="42" xfId="38" applyNumberFormat="1" applyFont="1" applyBorder="1" applyAlignment="1">
      <alignment vertical="center"/>
    </xf>
    <xf numFmtId="166" fontId="2" fillId="0" borderId="40" xfId="38" applyNumberFormat="1" applyFont="1" applyBorder="1" applyAlignment="1">
      <alignment vertical="center"/>
    </xf>
    <xf numFmtId="166" fontId="2" fillId="0" borderId="15" xfId="38" applyNumberFormat="1" applyFont="1" applyBorder="1" applyAlignment="1">
      <alignment vertical="center"/>
    </xf>
    <xf numFmtId="166" fontId="8" fillId="0" borderId="15" xfId="38" applyNumberFormat="1" applyFont="1" applyBorder="1" applyAlignment="1">
      <alignment vertical="center"/>
    </xf>
    <xf numFmtId="3" fontId="4" fillId="0" borderId="43" xfId="0" applyFont="1" applyBorder="1" applyAlignment="1">
      <alignment horizontal="center" vertical="center"/>
    </xf>
    <xf numFmtId="3" fontId="4" fillId="0" borderId="29" xfId="0" applyFont="1" applyBorder="1" applyAlignment="1">
      <alignment horizontal="left" vertical="center"/>
    </xf>
    <xf numFmtId="3" fontId="4" fillId="0" borderId="29" xfId="0" applyFont="1" applyBorder="1" applyAlignment="1">
      <alignment/>
    </xf>
    <xf numFmtId="3" fontId="5" fillId="0" borderId="29" xfId="0" applyFont="1" applyBorder="1" applyAlignment="1">
      <alignment/>
    </xf>
    <xf numFmtId="3" fontId="0" fillId="0" borderId="29" xfId="0" applyFont="1" applyBorder="1" applyAlignment="1">
      <alignment/>
    </xf>
    <xf numFmtId="3" fontId="0" fillId="0" borderId="29" xfId="0" applyBorder="1" applyAlignment="1">
      <alignment/>
    </xf>
    <xf numFmtId="3" fontId="4" fillId="0" borderId="29" xfId="0" applyFont="1" applyBorder="1" applyAlignment="1">
      <alignment/>
    </xf>
    <xf numFmtId="3" fontId="5" fillId="0" borderId="29" xfId="0" applyFont="1" applyBorder="1" applyAlignment="1">
      <alignment/>
    </xf>
    <xf numFmtId="3" fontId="0" fillId="0" borderId="29" xfId="0" applyFont="1" applyBorder="1" applyAlignment="1">
      <alignment/>
    </xf>
    <xf numFmtId="3" fontId="2" fillId="0" borderId="44" xfId="0" applyFont="1" applyBorder="1" applyAlignment="1">
      <alignment vertical="center"/>
    </xf>
    <xf numFmtId="3" fontId="7" fillId="0" borderId="29" xfId="0" applyFont="1" applyBorder="1" applyAlignment="1">
      <alignment horizontal="center"/>
    </xf>
    <xf numFmtId="3" fontId="0" fillId="0" borderId="31" xfId="0" applyFont="1" applyBorder="1" applyAlignment="1">
      <alignment/>
    </xf>
    <xf numFmtId="3" fontId="9" fillId="0" borderId="29" xfId="0" applyFont="1" applyBorder="1" applyAlignment="1">
      <alignment/>
    </xf>
    <xf numFmtId="3" fontId="7" fillId="0" borderId="45" xfId="0" applyFont="1" applyBorder="1" applyAlignment="1">
      <alignment horizontal="center"/>
    </xf>
    <xf numFmtId="3" fontId="9" fillId="0" borderId="29" xfId="0" applyFont="1" applyBorder="1" applyAlignment="1">
      <alignment horizontal="center"/>
    </xf>
    <xf numFmtId="3" fontId="9" fillId="0" borderId="29" xfId="0" applyFont="1" applyFill="1" applyBorder="1" applyAlignment="1">
      <alignment horizontal="center"/>
    </xf>
    <xf numFmtId="3" fontId="7" fillId="0" borderId="29" xfId="0" applyFont="1" applyFill="1" applyBorder="1" applyAlignment="1">
      <alignment horizontal="center"/>
    </xf>
    <xf numFmtId="3" fontId="9" fillId="0" borderId="34" xfId="0" applyFont="1" applyBorder="1" applyAlignment="1">
      <alignment horizontal="center" vertical="center"/>
    </xf>
    <xf numFmtId="3" fontId="9" fillId="0" borderId="35" xfId="0" applyFont="1" applyBorder="1" applyAlignment="1">
      <alignment horizontal="center" vertical="center"/>
    </xf>
    <xf numFmtId="3" fontId="9" fillId="0" borderId="31" xfId="0" applyFont="1" applyBorder="1" applyAlignment="1">
      <alignment horizontal="center" vertical="center"/>
    </xf>
    <xf numFmtId="3" fontId="9" fillId="0" borderId="33" xfId="0" applyFont="1" applyBorder="1" applyAlignment="1">
      <alignment horizontal="center" vertical="center"/>
    </xf>
    <xf numFmtId="3" fontId="7" fillId="0" borderId="31" xfId="0" applyFont="1" applyBorder="1" applyAlignment="1">
      <alignment horizontal="center" vertical="center"/>
    </xf>
    <xf numFmtId="3" fontId="7" fillId="0" borderId="44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22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4" fillId="0" borderId="21" xfId="38" applyNumberFormat="1" applyFont="1" applyBorder="1" applyAlignment="1">
      <alignment/>
    </xf>
    <xf numFmtId="174" fontId="0" fillId="0" borderId="10" xfId="38" applyNumberFormat="1" applyFont="1" applyBorder="1" applyAlignment="1">
      <alignment/>
    </xf>
    <xf numFmtId="174" fontId="0" fillId="0" borderId="21" xfId="38" applyNumberFormat="1" applyFont="1" applyBorder="1" applyAlignment="1">
      <alignment/>
    </xf>
    <xf numFmtId="174" fontId="0" fillId="0" borderId="22" xfId="38" applyNumberFormat="1" applyFont="1" applyBorder="1" applyAlignment="1">
      <alignment/>
    </xf>
    <xf numFmtId="174" fontId="4" fillId="0" borderId="22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4" fillId="0" borderId="21" xfId="38" applyNumberFormat="1" applyFont="1" applyBorder="1" applyAlignment="1">
      <alignment/>
    </xf>
    <xf numFmtId="174" fontId="2" fillId="0" borderId="24" xfId="38" applyNumberFormat="1" applyFont="1" applyBorder="1" applyAlignment="1">
      <alignment vertical="center"/>
    </xf>
    <xf numFmtId="174" fontId="2" fillId="0" borderId="12" xfId="38" applyNumberFormat="1" applyFont="1" applyBorder="1" applyAlignment="1">
      <alignment vertical="center"/>
    </xf>
    <xf numFmtId="174" fontId="2" fillId="0" borderId="23" xfId="38" applyNumberFormat="1" applyFont="1" applyBorder="1" applyAlignment="1">
      <alignment vertical="center"/>
    </xf>
    <xf numFmtId="174" fontId="6" fillId="0" borderId="22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6" fillId="0" borderId="21" xfId="38" applyNumberFormat="1" applyFont="1" applyBorder="1" applyAlignment="1">
      <alignment/>
    </xf>
    <xf numFmtId="174" fontId="0" fillId="0" borderId="27" xfId="38" applyNumberFormat="1" applyFont="1" applyBorder="1" applyAlignment="1">
      <alignment/>
    </xf>
    <xf numFmtId="174" fontId="0" fillId="0" borderId="11" xfId="38" applyNumberFormat="1" applyFont="1" applyBorder="1" applyAlignment="1">
      <alignment/>
    </xf>
    <xf numFmtId="174" fontId="6" fillId="0" borderId="22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6" fillId="0" borderId="21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0" fillId="0" borderId="22" xfId="38" applyNumberFormat="1" applyFont="1" applyFill="1" applyBorder="1" applyAlignment="1">
      <alignment/>
    </xf>
    <xf numFmtId="174" fontId="0" fillId="0" borderId="27" xfId="38" applyNumberFormat="1" applyFont="1" applyBorder="1" applyAlignment="1">
      <alignment/>
    </xf>
    <xf numFmtId="174" fontId="0" fillId="0" borderId="27" xfId="38" applyNumberFormat="1" applyFont="1" applyFill="1" applyBorder="1" applyAlignment="1">
      <alignment/>
    </xf>
    <xf numFmtId="174" fontId="4" fillId="0" borderId="46" xfId="38" applyNumberFormat="1" applyFont="1" applyBorder="1" applyAlignment="1">
      <alignment/>
    </xf>
    <xf numFmtId="174" fontId="4" fillId="0" borderId="39" xfId="38" applyNumberFormat="1" applyFont="1" applyBorder="1" applyAlignment="1">
      <alignment/>
    </xf>
    <xf numFmtId="174" fontId="4" fillId="0" borderId="17" xfId="38" applyNumberFormat="1" applyFont="1" applyBorder="1" applyAlignment="1">
      <alignment vertical="center"/>
    </xf>
    <xf numFmtId="174" fontId="2" fillId="0" borderId="17" xfId="38" applyNumberFormat="1" applyFont="1" applyBorder="1" applyAlignment="1">
      <alignment vertical="center"/>
    </xf>
    <xf numFmtId="174" fontId="3" fillId="0" borderId="19" xfId="38" applyNumberFormat="1" applyFont="1" applyBorder="1" applyAlignment="1">
      <alignment vertical="center"/>
    </xf>
    <xf numFmtId="174" fontId="2" fillId="0" borderId="19" xfId="38" applyNumberFormat="1" applyFont="1" applyBorder="1" applyAlignment="1">
      <alignment vertical="center"/>
    </xf>
    <xf numFmtId="174" fontId="8" fillId="0" borderId="21" xfId="38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3" fillId="0" borderId="17" xfId="38" applyNumberFormat="1" applyFont="1" applyBorder="1" applyAlignment="1">
      <alignment vertical="center"/>
    </xf>
    <xf numFmtId="174" fontId="3" fillId="0" borderId="21" xfId="38" applyNumberFormat="1" applyFont="1" applyBorder="1" applyAlignment="1">
      <alignment vertical="center"/>
    </xf>
    <xf numFmtId="174" fontId="3" fillId="0" borderId="23" xfId="38" applyNumberFormat="1" applyFont="1" applyBorder="1" applyAlignment="1">
      <alignment vertical="center"/>
    </xf>
    <xf numFmtId="174" fontId="3" fillId="0" borderId="16" xfId="38" applyNumberFormat="1" applyFont="1" applyBorder="1" applyAlignment="1">
      <alignment vertical="center"/>
    </xf>
    <xf numFmtId="174" fontId="4" fillId="0" borderId="16" xfId="38" applyNumberFormat="1" applyFont="1" applyBorder="1" applyAlignment="1">
      <alignment vertical="center"/>
    </xf>
    <xf numFmtId="174" fontId="2" fillId="0" borderId="16" xfId="38" applyNumberFormat="1" applyFont="1" applyBorder="1" applyAlignment="1">
      <alignment vertical="center"/>
    </xf>
    <xf numFmtId="174" fontId="3" fillId="0" borderId="18" xfId="38" applyNumberFormat="1" applyFont="1" applyBorder="1" applyAlignment="1">
      <alignment vertical="center"/>
    </xf>
    <xf numFmtId="174" fontId="3" fillId="0" borderId="10" xfId="38" applyNumberFormat="1" applyFont="1" applyBorder="1" applyAlignment="1">
      <alignment vertical="center"/>
    </xf>
    <xf numFmtId="174" fontId="3" fillId="0" borderId="12" xfId="38" applyNumberFormat="1" applyFont="1" applyBorder="1" applyAlignment="1">
      <alignment vertical="center"/>
    </xf>
    <xf numFmtId="174" fontId="2" fillId="0" borderId="18" xfId="38" applyNumberFormat="1" applyFont="1" applyBorder="1" applyAlignment="1">
      <alignment vertical="center"/>
    </xf>
    <xf numFmtId="174" fontId="2" fillId="0" borderId="10" xfId="38" applyNumberFormat="1" applyFont="1" applyBorder="1" applyAlignment="1">
      <alignment vertical="center"/>
    </xf>
    <xf numFmtId="174" fontId="6" fillId="0" borderId="10" xfId="38" applyNumberFormat="1" applyFont="1" applyFill="1" applyBorder="1" applyAlignment="1">
      <alignment/>
    </xf>
    <xf numFmtId="174" fontId="0" fillId="0" borderId="10" xfId="38" applyNumberFormat="1" applyFont="1" applyFill="1" applyBorder="1" applyAlignment="1">
      <alignment/>
    </xf>
    <xf numFmtId="165" fontId="4" fillId="0" borderId="47" xfId="38" applyNumberFormat="1" applyFont="1" applyBorder="1" applyAlignment="1">
      <alignment horizontal="center"/>
    </xf>
    <xf numFmtId="165" fontId="4" fillId="0" borderId="48" xfId="38" applyNumberFormat="1" applyFont="1" applyBorder="1" applyAlignment="1">
      <alignment horizontal="center"/>
    </xf>
    <xf numFmtId="165" fontId="4" fillId="0" borderId="15" xfId="38" applyNumberFormat="1" applyFont="1" applyBorder="1" applyAlignment="1">
      <alignment horizontal="center"/>
    </xf>
    <xf numFmtId="166" fontId="4" fillId="0" borderId="15" xfId="38" applyNumberFormat="1" applyFont="1" applyBorder="1" applyAlignment="1">
      <alignment/>
    </xf>
    <xf numFmtId="166" fontId="0" fillId="0" borderId="15" xfId="38" applyNumberFormat="1" applyFont="1" applyBorder="1" applyAlignment="1">
      <alignment/>
    </xf>
    <xf numFmtId="174" fontId="4" fillId="0" borderId="15" xfId="38" applyNumberFormat="1" applyFont="1" applyBorder="1" applyAlignment="1">
      <alignment/>
    </xf>
    <xf numFmtId="166" fontId="2" fillId="0" borderId="48" xfId="38" applyNumberFormat="1" applyFont="1" applyBorder="1" applyAlignment="1">
      <alignment vertical="center"/>
    </xf>
    <xf numFmtId="166" fontId="6" fillId="0" borderId="15" xfId="38" applyNumberFormat="1" applyFont="1" applyBorder="1" applyAlignment="1">
      <alignment/>
    </xf>
    <xf numFmtId="166" fontId="7" fillId="0" borderId="15" xfId="38" applyNumberFormat="1" applyFont="1" applyBorder="1" applyAlignment="1">
      <alignment/>
    </xf>
    <xf numFmtId="166" fontId="4" fillId="0" borderId="0" xfId="38" applyNumberFormat="1" applyFont="1" applyBorder="1" applyAlignment="1">
      <alignment/>
    </xf>
    <xf numFmtId="166" fontId="6" fillId="0" borderId="0" xfId="38" applyNumberFormat="1" applyFont="1" applyBorder="1" applyAlignment="1">
      <alignment/>
    </xf>
    <xf numFmtId="166" fontId="8" fillId="0" borderId="48" xfId="38" applyNumberFormat="1" applyFont="1" applyBorder="1" applyAlignment="1">
      <alignment vertical="center"/>
    </xf>
    <xf numFmtId="174" fontId="3" fillId="0" borderId="26" xfId="38" applyNumberFormat="1" applyFont="1" applyBorder="1" applyAlignment="1">
      <alignment vertical="center"/>
    </xf>
    <xf numFmtId="174" fontId="4" fillId="0" borderId="26" xfId="38" applyNumberFormat="1" applyFont="1" applyBorder="1" applyAlignment="1">
      <alignment vertical="center"/>
    </xf>
    <xf numFmtId="174" fontId="2" fillId="0" borderId="26" xfId="38" applyNumberFormat="1" applyFont="1" applyBorder="1" applyAlignment="1">
      <alignment vertical="center"/>
    </xf>
    <xf numFmtId="174" fontId="3" fillId="0" borderId="20" xfId="38" applyNumberFormat="1" applyFont="1" applyBorder="1" applyAlignment="1">
      <alignment vertical="center"/>
    </xf>
    <xf numFmtId="174" fontId="3" fillId="0" borderId="22" xfId="38" applyNumberFormat="1" applyFont="1" applyBorder="1" applyAlignment="1">
      <alignment vertical="center"/>
    </xf>
    <xf numFmtId="174" fontId="3" fillId="0" borderId="24" xfId="38" applyNumberFormat="1" applyFont="1" applyBorder="1" applyAlignment="1">
      <alignment vertical="center"/>
    </xf>
    <xf numFmtId="174" fontId="2" fillId="0" borderId="20" xfId="38" applyNumberFormat="1" applyFont="1" applyBorder="1" applyAlignment="1">
      <alignment vertical="center"/>
    </xf>
    <xf numFmtId="174" fontId="2" fillId="0" borderId="22" xfId="38" applyNumberFormat="1" applyFont="1" applyBorder="1" applyAlignment="1">
      <alignment vertical="center"/>
    </xf>
    <xf numFmtId="174" fontId="4" fillId="0" borderId="29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174" fontId="0" fillId="0" borderId="28" xfId="38" applyNumberFormat="1" applyFont="1" applyBorder="1" applyAlignment="1">
      <alignment/>
    </xf>
    <xf numFmtId="165" fontId="45" fillId="0" borderId="0" xfId="0" applyNumberFormat="1" applyFont="1" applyAlignment="1">
      <alignment horizontal="center" vertical="center"/>
    </xf>
    <xf numFmtId="174" fontId="0" fillId="0" borderId="10" xfId="38" applyNumberFormat="1" applyFont="1" applyBorder="1" applyAlignment="1">
      <alignment/>
    </xf>
    <xf numFmtId="3" fontId="7" fillId="0" borderId="44" xfId="0" applyFont="1" applyBorder="1" applyAlignment="1">
      <alignment horizontal="center"/>
    </xf>
    <xf numFmtId="174" fontId="0" fillId="0" borderId="24" xfId="38" applyNumberFormat="1" applyFont="1" applyBorder="1" applyAlignment="1">
      <alignment/>
    </xf>
    <xf numFmtId="174" fontId="0" fillId="0" borderId="12" xfId="38" applyNumberFormat="1" applyFont="1" applyBorder="1" applyAlignment="1">
      <alignment/>
    </xf>
    <xf numFmtId="174" fontId="0" fillId="0" borderId="23" xfId="38" applyNumberFormat="1" applyFont="1" applyBorder="1" applyAlignment="1">
      <alignment/>
    </xf>
    <xf numFmtId="3" fontId="0" fillId="0" borderId="33" xfId="0" applyFont="1" applyBorder="1" applyAlignment="1">
      <alignment/>
    </xf>
    <xf numFmtId="174" fontId="0" fillId="0" borderId="29" xfId="38" applyNumberFormat="1" applyFont="1" applyBorder="1" applyAlignment="1">
      <alignment/>
    </xf>
    <xf numFmtId="174" fontId="0" fillId="0" borderId="0" xfId="38" applyNumberFormat="1" applyFont="1" applyBorder="1" applyAlignment="1">
      <alignment/>
    </xf>
    <xf numFmtId="174" fontId="0" fillId="0" borderId="29" xfId="38" applyNumberFormat="1" applyFont="1" applyFill="1" applyBorder="1" applyAlignment="1">
      <alignment/>
    </xf>
    <xf numFmtId="4" fontId="0" fillId="0" borderId="0" xfId="0" applyNumberFormat="1" applyAlignment="1">
      <alignment/>
    </xf>
    <xf numFmtId="174" fontId="3" fillId="0" borderId="49" xfId="38" applyNumberFormat="1" applyFont="1" applyBorder="1" applyAlignment="1">
      <alignment vertical="center"/>
    </xf>
    <xf numFmtId="174" fontId="3" fillId="0" borderId="42" xfId="38" applyNumberFormat="1" applyFont="1" applyBorder="1" applyAlignment="1">
      <alignment vertical="center"/>
    </xf>
    <xf numFmtId="167" fontId="0" fillId="0" borderId="15" xfId="0" applyNumberFormat="1" applyBorder="1" applyAlignment="1">
      <alignment/>
    </xf>
    <xf numFmtId="174" fontId="4" fillId="0" borderId="29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3" fontId="0" fillId="0" borderId="31" xfId="0" applyFont="1" applyFill="1" applyBorder="1" applyAlignment="1">
      <alignment/>
    </xf>
    <xf numFmtId="3" fontId="4" fillId="0" borderId="44" xfId="0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/>
    </xf>
    <xf numFmtId="174" fontId="0" fillId="0" borderId="22" xfId="38" applyNumberFormat="1" applyFont="1" applyBorder="1" applyAlignment="1">
      <alignment vertical="center"/>
    </xf>
    <xf numFmtId="174" fontId="0" fillId="0" borderId="10" xfId="38" applyNumberFormat="1" applyFont="1" applyBorder="1" applyAlignment="1">
      <alignment vertical="center"/>
    </xf>
    <xf numFmtId="174" fontId="0" fillId="0" borderId="21" xfId="38" applyNumberFormat="1" applyFont="1" applyBorder="1" applyAlignment="1">
      <alignment vertical="center"/>
    </xf>
    <xf numFmtId="174" fontId="0" fillId="0" borderId="12" xfId="38" applyNumberFormat="1" applyFont="1" applyBorder="1" applyAlignment="1">
      <alignment vertical="center"/>
    </xf>
    <xf numFmtId="174" fontId="0" fillId="0" borderId="23" xfId="38" applyNumberFormat="1" applyFont="1" applyBorder="1" applyAlignment="1">
      <alignment vertical="center"/>
    </xf>
    <xf numFmtId="174" fontId="4" fillId="0" borderId="24" xfId="38" applyNumberFormat="1" applyFont="1" applyBorder="1" applyAlignment="1">
      <alignment vertical="center"/>
    </xf>
    <xf numFmtId="49" fontId="5" fillId="0" borderId="29" xfId="0" applyNumberFormat="1" applyFont="1" applyBorder="1" applyAlignment="1">
      <alignment horizontal="left"/>
    </xf>
    <xf numFmtId="3" fontId="0" fillId="0" borderId="32" xfId="0" applyFont="1" applyBorder="1" applyAlignment="1">
      <alignment/>
    </xf>
    <xf numFmtId="174" fontId="0" fillId="0" borderId="24" xfId="38" applyNumberFormat="1" applyFont="1" applyBorder="1" applyAlignment="1">
      <alignment vertical="center"/>
    </xf>
    <xf numFmtId="3" fontId="4" fillId="0" borderId="35" xfId="0" applyFont="1" applyBorder="1" applyAlignment="1">
      <alignment horizontal="center" vertical="center"/>
    </xf>
    <xf numFmtId="3" fontId="0" fillId="0" borderId="33" xfId="0" applyBorder="1" applyAlignment="1">
      <alignment horizontal="center" vertical="center"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7"/>
  <sheetViews>
    <sheetView zoomScaleSheetLayoutView="69" zoomScalePageLayoutView="0" workbookViewId="0" topLeftCell="A1">
      <pane xSplit="1" ySplit="9" topLeftCell="C16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65" sqref="A365"/>
    </sheetView>
  </sheetViews>
  <sheetFormatPr defaultColWidth="9.00390625" defaultRowHeight="12.75"/>
  <cols>
    <col min="1" max="1" width="49.875" style="0" customWidth="1"/>
    <col min="2" max="2" width="10.00390625" style="0" hidden="1" customWidth="1"/>
    <col min="3" max="3" width="15.25390625" style="0" customWidth="1"/>
    <col min="4" max="4" width="15.125" style="0" customWidth="1"/>
    <col min="5" max="5" width="12.875" style="0" hidden="1" customWidth="1"/>
    <col min="6" max="6" width="16.375" style="0" customWidth="1"/>
    <col min="7" max="7" width="12.625" style="0" hidden="1" customWidth="1"/>
    <col min="8" max="8" width="12.75390625" style="0" hidden="1" customWidth="1"/>
    <col min="9" max="9" width="14.125" style="0" hidden="1" customWidth="1"/>
    <col min="10" max="11" width="13.75390625" style="0" hidden="1" customWidth="1"/>
    <col min="12" max="12" width="14.25390625" style="0" hidden="1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15.125" style="0" hidden="1" customWidth="1"/>
  </cols>
  <sheetData>
    <row r="1" spans="3:17" ht="12.75">
      <c r="C1" s="1"/>
      <c r="D1" s="1"/>
      <c r="E1" s="1"/>
      <c r="F1" s="2" t="s">
        <v>161</v>
      </c>
      <c r="I1" s="2"/>
      <c r="L1" s="2"/>
      <c r="O1" s="2"/>
      <c r="Q1" s="2" t="s">
        <v>161</v>
      </c>
    </row>
    <row r="2" spans="3:6" ht="9.75" customHeight="1">
      <c r="C2" s="1"/>
      <c r="D2" s="1"/>
      <c r="E2" s="1"/>
      <c r="F2" s="2"/>
    </row>
    <row r="3" spans="1:17" ht="15.75">
      <c r="A3" s="277" t="s">
        <v>349</v>
      </c>
      <c r="B3" s="277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</row>
    <row r="4" spans="1:17" ht="15.75">
      <c r="A4" s="279" t="s">
        <v>300</v>
      </c>
      <c r="B4" s="279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</row>
    <row r="5" spans="1:17" ht="15">
      <c r="A5" s="280" t="s">
        <v>0</v>
      </c>
      <c r="B5" s="280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</row>
    <row r="6" spans="1:17" ht="12.75">
      <c r="A6" s="281" t="s">
        <v>1</v>
      </c>
      <c r="B6" s="281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</row>
    <row r="7" spans="1:13" ht="18" customHeight="1" thickBot="1">
      <c r="A7" s="3"/>
      <c r="B7" s="3"/>
      <c r="C7" s="4"/>
      <c r="D7" s="247"/>
      <c r="E7" s="4"/>
      <c r="F7" s="4"/>
      <c r="J7" s="113"/>
      <c r="M7" s="99"/>
    </row>
    <row r="8" spans="1:17" ht="12.75">
      <c r="A8" s="275" t="s">
        <v>2</v>
      </c>
      <c r="B8" s="155" t="s">
        <v>315</v>
      </c>
      <c r="C8" s="45" t="s">
        <v>3</v>
      </c>
      <c r="D8" s="46" t="s">
        <v>4</v>
      </c>
      <c r="E8" s="46" t="s">
        <v>5</v>
      </c>
      <c r="F8" s="47" t="s">
        <v>6</v>
      </c>
      <c r="G8" s="224" t="s">
        <v>7</v>
      </c>
      <c r="H8" s="46" t="s">
        <v>5</v>
      </c>
      <c r="I8" s="47" t="s">
        <v>6</v>
      </c>
      <c r="J8" s="45" t="s">
        <v>8</v>
      </c>
      <c r="K8" s="46" t="s">
        <v>5</v>
      </c>
      <c r="L8" s="47" t="s">
        <v>6</v>
      </c>
      <c r="M8" s="45" t="s">
        <v>9</v>
      </c>
      <c r="N8" s="46" t="s">
        <v>5</v>
      </c>
      <c r="O8" s="47" t="s">
        <v>6</v>
      </c>
      <c r="P8" s="45" t="s">
        <v>203</v>
      </c>
      <c r="Q8" s="118" t="s">
        <v>6</v>
      </c>
    </row>
    <row r="9" spans="1:17" ht="13.5" thickBot="1">
      <c r="A9" s="276"/>
      <c r="B9" s="264" t="s">
        <v>228</v>
      </c>
      <c r="C9" s="95" t="s">
        <v>10</v>
      </c>
      <c r="D9" s="96" t="s">
        <v>11</v>
      </c>
      <c r="E9" s="96" t="s">
        <v>12</v>
      </c>
      <c r="F9" s="97" t="s">
        <v>13</v>
      </c>
      <c r="G9" s="225" t="s">
        <v>11</v>
      </c>
      <c r="H9" s="96" t="s">
        <v>12</v>
      </c>
      <c r="I9" s="97" t="s">
        <v>14</v>
      </c>
      <c r="J9" s="95" t="s">
        <v>11</v>
      </c>
      <c r="K9" s="96" t="s">
        <v>12</v>
      </c>
      <c r="L9" s="97" t="s">
        <v>15</v>
      </c>
      <c r="M9" s="95" t="s">
        <v>11</v>
      </c>
      <c r="N9" s="96" t="s">
        <v>12</v>
      </c>
      <c r="O9" s="97" t="s">
        <v>16</v>
      </c>
      <c r="P9" s="95" t="s">
        <v>11</v>
      </c>
      <c r="Q9" s="119" t="s">
        <v>204</v>
      </c>
    </row>
    <row r="10" spans="1:17" ht="15.75" customHeight="1">
      <c r="A10" s="93" t="s">
        <v>17</v>
      </c>
      <c r="B10" s="156"/>
      <c r="C10" s="64"/>
      <c r="D10" s="5"/>
      <c r="E10" s="5"/>
      <c r="F10" s="94"/>
      <c r="G10" s="226"/>
      <c r="H10" s="5"/>
      <c r="I10" s="94"/>
      <c r="J10" s="64"/>
      <c r="K10" s="5"/>
      <c r="L10" s="94"/>
      <c r="M10" s="64"/>
      <c r="N10" s="5"/>
      <c r="O10" s="94"/>
      <c r="P10" s="124"/>
      <c r="Q10" s="125"/>
    </row>
    <row r="11" spans="1:17" ht="12.75">
      <c r="A11" s="67" t="s">
        <v>301</v>
      </c>
      <c r="B11" s="157"/>
      <c r="C11" s="261">
        <f>C13+C14+C15</f>
        <v>3575069</v>
      </c>
      <c r="D11" s="180">
        <f>D13+D14+D15</f>
        <v>27664.74</v>
      </c>
      <c r="E11" s="262">
        <f>E13+E14+E15</f>
        <v>0</v>
      </c>
      <c r="F11" s="181">
        <f>F13+F14+F15</f>
        <v>3602733.74</v>
      </c>
      <c r="G11" s="227"/>
      <c r="H11" s="6"/>
      <c r="I11" s="49">
        <f>F11+G11+H11</f>
        <v>3602733.74</v>
      </c>
      <c r="J11" s="48"/>
      <c r="K11" s="6"/>
      <c r="L11" s="49">
        <f>I11+J11+K11</f>
        <v>3602733.74</v>
      </c>
      <c r="M11" s="48"/>
      <c r="N11" s="6"/>
      <c r="O11" s="49">
        <f>L11+M11+N11</f>
        <v>3602733.74</v>
      </c>
      <c r="P11" s="129"/>
      <c r="Q11" s="126">
        <f>O11+P11</f>
        <v>3602733.74</v>
      </c>
    </row>
    <row r="12" spans="1:17" ht="12.75">
      <c r="A12" s="68" t="s">
        <v>18</v>
      </c>
      <c r="B12" s="158"/>
      <c r="C12" s="179"/>
      <c r="D12" s="180"/>
      <c r="E12" s="180"/>
      <c r="F12" s="181"/>
      <c r="G12" s="227"/>
      <c r="H12" s="6"/>
      <c r="I12" s="49"/>
      <c r="J12" s="48"/>
      <c r="K12" s="6"/>
      <c r="L12" s="49"/>
      <c r="M12" s="48"/>
      <c r="N12" s="6"/>
      <c r="O12" s="49"/>
      <c r="P12" s="129"/>
      <c r="Q12" s="127"/>
    </row>
    <row r="13" spans="1:17" ht="12.75">
      <c r="A13" s="166" t="s">
        <v>308</v>
      </c>
      <c r="B13" s="158"/>
      <c r="C13" s="184">
        <v>3574869</v>
      </c>
      <c r="D13" s="182">
        <f>6470</f>
        <v>6470</v>
      </c>
      <c r="E13" s="180"/>
      <c r="F13" s="183">
        <f>C13+D13+E13</f>
        <v>3581339</v>
      </c>
      <c r="G13" s="227"/>
      <c r="H13" s="6"/>
      <c r="I13" s="49"/>
      <c r="J13" s="48"/>
      <c r="K13" s="6"/>
      <c r="L13" s="49"/>
      <c r="M13" s="48"/>
      <c r="N13" s="6"/>
      <c r="O13" s="49"/>
      <c r="P13" s="129"/>
      <c r="Q13" s="127"/>
    </row>
    <row r="14" spans="1:17" ht="12.75">
      <c r="A14" s="69" t="s">
        <v>19</v>
      </c>
      <c r="B14" s="159"/>
      <c r="C14" s="184"/>
      <c r="D14" s="199">
        <f>21194.74</f>
        <v>21194.74</v>
      </c>
      <c r="E14" s="182"/>
      <c r="F14" s="183">
        <f>C14+D14+E14</f>
        <v>21194.74</v>
      </c>
      <c r="G14" s="228"/>
      <c r="H14" s="6"/>
      <c r="I14" s="51">
        <f>F14+G14+H14</f>
        <v>21194.74</v>
      </c>
      <c r="J14" s="50"/>
      <c r="K14" s="6"/>
      <c r="L14" s="51">
        <f>I14+J14+K14</f>
        <v>21194.74</v>
      </c>
      <c r="M14" s="50"/>
      <c r="N14" s="6"/>
      <c r="O14" s="51">
        <f>L14+M14+N14</f>
        <v>21194.74</v>
      </c>
      <c r="P14" s="129"/>
      <c r="Q14" s="127">
        <f aca="true" t="shared" si="0" ref="Q14:Q84">O14+P14</f>
        <v>21194.74</v>
      </c>
    </row>
    <row r="15" spans="1:17" ht="12.75">
      <c r="A15" s="166" t="s">
        <v>309</v>
      </c>
      <c r="B15" s="159"/>
      <c r="C15" s="184">
        <v>200</v>
      </c>
      <c r="D15" s="199"/>
      <c r="E15" s="182"/>
      <c r="F15" s="183">
        <f>C15+D15+E15</f>
        <v>200</v>
      </c>
      <c r="G15" s="228"/>
      <c r="H15" s="6"/>
      <c r="I15" s="51"/>
      <c r="J15" s="228"/>
      <c r="K15" s="6"/>
      <c r="L15" s="51"/>
      <c r="M15" s="228"/>
      <c r="N15" s="6"/>
      <c r="O15" s="51"/>
      <c r="P15" s="260"/>
      <c r="Q15" s="127"/>
    </row>
    <row r="16" spans="1:17" ht="12.75">
      <c r="A16" s="67" t="s">
        <v>302</v>
      </c>
      <c r="B16" s="157"/>
      <c r="C16" s="179">
        <f aca="true" t="shared" si="1" ref="C16:Q16">SUM(C18:C37)+C44</f>
        <v>226820.6</v>
      </c>
      <c r="D16" s="180">
        <f t="shared" si="1"/>
        <v>14928.48</v>
      </c>
      <c r="E16" s="180">
        <f t="shared" si="1"/>
        <v>0</v>
      </c>
      <c r="F16" s="181">
        <f t="shared" si="1"/>
        <v>241749.08000000002</v>
      </c>
      <c r="G16" s="229">
        <f t="shared" si="1"/>
        <v>0</v>
      </c>
      <c r="H16" s="180">
        <f t="shared" si="1"/>
        <v>0</v>
      </c>
      <c r="I16" s="181">
        <f t="shared" si="1"/>
        <v>239195.48</v>
      </c>
      <c r="J16" s="180">
        <f t="shared" si="1"/>
        <v>0</v>
      </c>
      <c r="K16" s="180">
        <f t="shared" si="1"/>
        <v>0</v>
      </c>
      <c r="L16" s="181">
        <f t="shared" si="1"/>
        <v>239195.48</v>
      </c>
      <c r="M16" s="180">
        <f t="shared" si="1"/>
        <v>0</v>
      </c>
      <c r="N16" s="180">
        <f t="shared" si="1"/>
        <v>0</v>
      </c>
      <c r="O16" s="181">
        <f t="shared" si="1"/>
        <v>239195.48</v>
      </c>
      <c r="P16" s="180">
        <f t="shared" si="1"/>
        <v>0</v>
      </c>
      <c r="Q16" s="181">
        <f t="shared" si="1"/>
        <v>239195.48</v>
      </c>
    </row>
    <row r="17" spans="1:17" ht="10.5" customHeight="1">
      <c r="A17" s="68" t="s">
        <v>20</v>
      </c>
      <c r="B17" s="158"/>
      <c r="C17" s="179"/>
      <c r="D17" s="180"/>
      <c r="E17" s="180"/>
      <c r="F17" s="181"/>
      <c r="G17" s="227"/>
      <c r="H17" s="6"/>
      <c r="I17" s="49"/>
      <c r="J17" s="48"/>
      <c r="K17" s="6"/>
      <c r="L17" s="49"/>
      <c r="M17" s="48"/>
      <c r="N17" s="6"/>
      <c r="O17" s="49"/>
      <c r="P17" s="129"/>
      <c r="Q17" s="127"/>
    </row>
    <row r="18" spans="1:17" ht="12.75">
      <c r="A18" s="69" t="s">
        <v>21</v>
      </c>
      <c r="B18" s="159"/>
      <c r="C18" s="184">
        <v>1500</v>
      </c>
      <c r="D18" s="182"/>
      <c r="E18" s="182"/>
      <c r="F18" s="183">
        <f>C18+D18+E18</f>
        <v>1500</v>
      </c>
      <c r="G18" s="228"/>
      <c r="H18" s="7"/>
      <c r="I18" s="51">
        <f>F18+G18+H18</f>
        <v>1500</v>
      </c>
      <c r="J18" s="50"/>
      <c r="K18" s="7"/>
      <c r="L18" s="51">
        <f>I18+J18+K18</f>
        <v>1500</v>
      </c>
      <c r="M18" s="50"/>
      <c r="N18" s="7"/>
      <c r="O18" s="51">
        <f>L18+M18+N18</f>
        <v>1500</v>
      </c>
      <c r="P18" s="129"/>
      <c r="Q18" s="127">
        <f t="shared" si="0"/>
        <v>1500</v>
      </c>
    </row>
    <row r="19" spans="1:17" ht="12.75" hidden="1">
      <c r="A19" s="69" t="s">
        <v>22</v>
      </c>
      <c r="B19" s="159"/>
      <c r="C19" s="184"/>
      <c r="D19" s="182"/>
      <c r="E19" s="182"/>
      <c r="F19" s="183">
        <f aca="true" t="shared" si="2" ref="F19:F44">C19+D19+E19</f>
        <v>0</v>
      </c>
      <c r="G19" s="228"/>
      <c r="H19" s="7"/>
      <c r="I19" s="51">
        <f aca="true" t="shared" si="3" ref="I19:I36">F19+G19+H19</f>
        <v>0</v>
      </c>
      <c r="J19" s="50"/>
      <c r="K19" s="7"/>
      <c r="L19" s="51">
        <f aca="true" t="shared" si="4" ref="L19:L36">I19+J19+K19</f>
        <v>0</v>
      </c>
      <c r="M19" s="50"/>
      <c r="N19" s="7"/>
      <c r="O19" s="51">
        <f aca="true" t="shared" si="5" ref="O19:O36">L19+M19+N19</f>
        <v>0</v>
      </c>
      <c r="P19" s="129"/>
      <c r="Q19" s="127">
        <f t="shared" si="0"/>
        <v>0</v>
      </c>
    </row>
    <row r="20" spans="1:17" ht="12.75" hidden="1">
      <c r="A20" s="69" t="s">
        <v>23</v>
      </c>
      <c r="B20" s="159"/>
      <c r="C20" s="184"/>
      <c r="D20" s="182"/>
      <c r="E20" s="182"/>
      <c r="F20" s="183">
        <f t="shared" si="2"/>
        <v>0</v>
      </c>
      <c r="G20" s="228"/>
      <c r="H20" s="7"/>
      <c r="I20" s="51">
        <f t="shared" si="3"/>
        <v>0</v>
      </c>
      <c r="J20" s="50"/>
      <c r="K20" s="7"/>
      <c r="L20" s="51">
        <f t="shared" si="4"/>
        <v>0</v>
      </c>
      <c r="M20" s="50"/>
      <c r="N20" s="7"/>
      <c r="O20" s="51">
        <f t="shared" si="5"/>
        <v>0</v>
      </c>
      <c r="P20" s="129"/>
      <c r="Q20" s="127">
        <f t="shared" si="0"/>
        <v>0</v>
      </c>
    </row>
    <row r="21" spans="1:17" ht="12.75" hidden="1">
      <c r="A21" s="166" t="s">
        <v>320</v>
      </c>
      <c r="B21" s="159"/>
      <c r="C21" s="184"/>
      <c r="D21" s="182"/>
      <c r="E21" s="182"/>
      <c r="F21" s="183">
        <f t="shared" si="2"/>
        <v>0</v>
      </c>
      <c r="G21" s="228"/>
      <c r="H21" s="7"/>
      <c r="I21" s="51">
        <f t="shared" si="3"/>
        <v>0</v>
      </c>
      <c r="J21" s="50"/>
      <c r="K21" s="7"/>
      <c r="L21" s="51">
        <f t="shared" si="4"/>
        <v>0</v>
      </c>
      <c r="M21" s="50"/>
      <c r="N21" s="7"/>
      <c r="O21" s="51">
        <f t="shared" si="5"/>
        <v>0</v>
      </c>
      <c r="P21" s="129"/>
      <c r="Q21" s="127">
        <f t="shared" si="0"/>
        <v>0</v>
      </c>
    </row>
    <row r="22" spans="1:17" ht="12.75">
      <c r="A22" s="69" t="s">
        <v>24</v>
      </c>
      <c r="B22" s="159"/>
      <c r="C22" s="184">
        <v>45000</v>
      </c>
      <c r="D22" s="182"/>
      <c r="E22" s="182"/>
      <c r="F22" s="183">
        <f t="shared" si="2"/>
        <v>45000</v>
      </c>
      <c r="G22" s="228"/>
      <c r="H22" s="7"/>
      <c r="I22" s="51">
        <f t="shared" si="3"/>
        <v>45000</v>
      </c>
      <c r="J22" s="50"/>
      <c r="K22" s="7"/>
      <c r="L22" s="51">
        <f t="shared" si="4"/>
        <v>45000</v>
      </c>
      <c r="M22" s="50"/>
      <c r="N22" s="7"/>
      <c r="O22" s="51">
        <f t="shared" si="5"/>
        <v>45000</v>
      </c>
      <c r="P22" s="129"/>
      <c r="Q22" s="127">
        <f t="shared" si="0"/>
        <v>45000</v>
      </c>
    </row>
    <row r="23" spans="1:17" ht="12.75" hidden="1">
      <c r="A23" s="69" t="s">
        <v>26</v>
      </c>
      <c r="B23" s="159"/>
      <c r="C23" s="184"/>
      <c r="D23" s="182"/>
      <c r="E23" s="182"/>
      <c r="F23" s="183">
        <f t="shared" si="2"/>
        <v>0</v>
      </c>
      <c r="G23" s="228"/>
      <c r="H23" s="7"/>
      <c r="I23" s="51">
        <f t="shared" si="3"/>
        <v>0</v>
      </c>
      <c r="J23" s="50"/>
      <c r="K23" s="7"/>
      <c r="L23" s="51">
        <f t="shared" si="4"/>
        <v>0</v>
      </c>
      <c r="M23" s="50"/>
      <c r="N23" s="7"/>
      <c r="O23" s="51">
        <f t="shared" si="5"/>
        <v>0</v>
      </c>
      <c r="P23" s="129"/>
      <c r="Q23" s="127">
        <f t="shared" si="0"/>
        <v>0</v>
      </c>
    </row>
    <row r="24" spans="1:17" ht="12.75">
      <c r="A24" s="70" t="s">
        <v>169</v>
      </c>
      <c r="B24" s="160"/>
      <c r="C24" s="184">
        <v>21583.8</v>
      </c>
      <c r="D24" s="182"/>
      <c r="E24" s="182"/>
      <c r="F24" s="183">
        <f t="shared" si="2"/>
        <v>21583.8</v>
      </c>
      <c r="G24" s="228"/>
      <c r="H24" s="7"/>
      <c r="I24" s="51">
        <f t="shared" si="3"/>
        <v>21583.8</v>
      </c>
      <c r="J24" s="50"/>
      <c r="K24" s="7"/>
      <c r="L24" s="51">
        <f t="shared" si="4"/>
        <v>21583.8</v>
      </c>
      <c r="M24" s="50"/>
      <c r="N24" s="7"/>
      <c r="O24" s="51">
        <f t="shared" si="5"/>
        <v>21583.8</v>
      </c>
      <c r="P24" s="129"/>
      <c r="Q24" s="127">
        <f t="shared" si="0"/>
        <v>21583.8</v>
      </c>
    </row>
    <row r="25" spans="1:17" ht="12.75">
      <c r="A25" s="70" t="s">
        <v>178</v>
      </c>
      <c r="B25" s="160"/>
      <c r="C25" s="184">
        <v>40000</v>
      </c>
      <c r="D25" s="182">
        <f>10000</f>
        <v>10000</v>
      </c>
      <c r="E25" s="182"/>
      <c r="F25" s="183">
        <f t="shared" si="2"/>
        <v>50000</v>
      </c>
      <c r="G25" s="228"/>
      <c r="H25" s="7"/>
      <c r="I25" s="51">
        <f t="shared" si="3"/>
        <v>50000</v>
      </c>
      <c r="J25" s="50"/>
      <c r="K25" s="7"/>
      <c r="L25" s="51">
        <f t="shared" si="4"/>
        <v>50000</v>
      </c>
      <c r="M25" s="50"/>
      <c r="N25" s="7"/>
      <c r="O25" s="51">
        <f t="shared" si="5"/>
        <v>50000</v>
      </c>
      <c r="P25" s="129"/>
      <c r="Q25" s="127">
        <f t="shared" si="0"/>
        <v>50000</v>
      </c>
    </row>
    <row r="26" spans="1:17" ht="12.75" hidden="1">
      <c r="A26" s="70" t="s">
        <v>264</v>
      </c>
      <c r="B26" s="160"/>
      <c r="C26" s="184"/>
      <c r="D26" s="182"/>
      <c r="E26" s="182"/>
      <c r="F26" s="183">
        <f t="shared" si="2"/>
        <v>0</v>
      </c>
      <c r="G26" s="228"/>
      <c r="H26" s="7"/>
      <c r="I26" s="51"/>
      <c r="J26" s="50"/>
      <c r="K26" s="7"/>
      <c r="L26" s="51"/>
      <c r="M26" s="50"/>
      <c r="N26" s="7"/>
      <c r="O26" s="51"/>
      <c r="P26" s="129"/>
      <c r="Q26" s="127"/>
    </row>
    <row r="27" spans="1:17" ht="12.75" hidden="1">
      <c r="A27" s="70" t="s">
        <v>25</v>
      </c>
      <c r="B27" s="160"/>
      <c r="C27" s="184"/>
      <c r="D27" s="182"/>
      <c r="E27" s="182"/>
      <c r="F27" s="183">
        <f t="shared" si="2"/>
        <v>0</v>
      </c>
      <c r="G27" s="228"/>
      <c r="H27" s="7"/>
      <c r="I27" s="51">
        <f t="shared" si="3"/>
        <v>0</v>
      </c>
      <c r="J27" s="50"/>
      <c r="K27" s="7"/>
      <c r="L27" s="51">
        <f t="shared" si="4"/>
        <v>0</v>
      </c>
      <c r="M27" s="65"/>
      <c r="N27" s="7"/>
      <c r="O27" s="51">
        <f t="shared" si="5"/>
        <v>0</v>
      </c>
      <c r="P27" s="129"/>
      <c r="Q27" s="127">
        <f t="shared" si="0"/>
        <v>0</v>
      </c>
    </row>
    <row r="28" spans="1:17" ht="12.75">
      <c r="A28" s="70" t="s">
        <v>346</v>
      </c>
      <c r="B28" s="160"/>
      <c r="C28" s="184"/>
      <c r="D28" s="182">
        <f>515.32</f>
        <v>515.32</v>
      </c>
      <c r="E28" s="182"/>
      <c r="F28" s="183">
        <f t="shared" si="2"/>
        <v>515.32</v>
      </c>
      <c r="G28" s="228"/>
      <c r="H28" s="7"/>
      <c r="I28" s="51"/>
      <c r="J28" s="50"/>
      <c r="K28" s="7"/>
      <c r="L28" s="51"/>
      <c r="M28" s="50"/>
      <c r="N28" s="7"/>
      <c r="O28" s="51"/>
      <c r="P28" s="129"/>
      <c r="Q28" s="127"/>
    </row>
    <row r="29" spans="1:17" ht="12.75">
      <c r="A29" s="70" t="s">
        <v>339</v>
      </c>
      <c r="B29" s="160"/>
      <c r="C29" s="184"/>
      <c r="D29" s="182">
        <v>43.5</v>
      </c>
      <c r="E29" s="182"/>
      <c r="F29" s="183">
        <f t="shared" si="2"/>
        <v>43.5</v>
      </c>
      <c r="G29" s="228"/>
      <c r="H29" s="7"/>
      <c r="I29" s="51"/>
      <c r="J29" s="50"/>
      <c r="K29" s="7"/>
      <c r="L29" s="51"/>
      <c r="M29" s="50"/>
      <c r="N29" s="7"/>
      <c r="O29" s="51"/>
      <c r="P29" s="129"/>
      <c r="Q29" s="127"/>
    </row>
    <row r="30" spans="1:17" ht="12.75" hidden="1">
      <c r="A30" s="70" t="s">
        <v>179</v>
      </c>
      <c r="B30" s="160"/>
      <c r="C30" s="184"/>
      <c r="D30" s="182"/>
      <c r="E30" s="182"/>
      <c r="F30" s="183">
        <f t="shared" si="2"/>
        <v>0</v>
      </c>
      <c r="G30" s="228"/>
      <c r="H30" s="7"/>
      <c r="I30" s="51">
        <f t="shared" si="3"/>
        <v>0</v>
      </c>
      <c r="J30" s="50"/>
      <c r="K30" s="7"/>
      <c r="L30" s="51">
        <f t="shared" si="4"/>
        <v>0</v>
      </c>
      <c r="M30" s="50"/>
      <c r="N30" s="7"/>
      <c r="O30" s="51">
        <f t="shared" si="5"/>
        <v>0</v>
      </c>
      <c r="P30" s="129"/>
      <c r="Q30" s="127">
        <f t="shared" si="0"/>
        <v>0</v>
      </c>
    </row>
    <row r="31" spans="1:17" ht="12.75" hidden="1">
      <c r="A31" s="70" t="s">
        <v>180</v>
      </c>
      <c r="B31" s="160"/>
      <c r="C31" s="184"/>
      <c r="D31" s="182"/>
      <c r="E31" s="182"/>
      <c r="F31" s="183">
        <f t="shared" si="2"/>
        <v>0</v>
      </c>
      <c r="G31" s="228"/>
      <c r="H31" s="7"/>
      <c r="I31" s="51">
        <f t="shared" si="3"/>
        <v>0</v>
      </c>
      <c r="J31" s="50"/>
      <c r="K31" s="7"/>
      <c r="L31" s="51">
        <f t="shared" si="4"/>
        <v>0</v>
      </c>
      <c r="M31" s="50"/>
      <c r="N31" s="7"/>
      <c r="O31" s="51">
        <f t="shared" si="5"/>
        <v>0</v>
      </c>
      <c r="P31" s="129"/>
      <c r="Q31" s="127">
        <f t="shared" si="0"/>
        <v>0</v>
      </c>
    </row>
    <row r="32" spans="1:17" ht="12.75">
      <c r="A32" s="70" t="s">
        <v>295</v>
      </c>
      <c r="B32" s="160"/>
      <c r="C32" s="184"/>
      <c r="D32" s="182">
        <f>719.88</f>
        <v>719.88</v>
      </c>
      <c r="E32" s="182"/>
      <c r="F32" s="183">
        <f t="shared" si="2"/>
        <v>719.88</v>
      </c>
      <c r="G32" s="228"/>
      <c r="H32" s="7"/>
      <c r="I32" s="51">
        <f t="shared" si="3"/>
        <v>719.88</v>
      </c>
      <c r="J32" s="50"/>
      <c r="K32" s="7"/>
      <c r="L32" s="51">
        <f t="shared" si="4"/>
        <v>719.88</v>
      </c>
      <c r="M32" s="50"/>
      <c r="N32" s="7"/>
      <c r="O32" s="51">
        <f t="shared" si="5"/>
        <v>719.88</v>
      </c>
      <c r="P32" s="129"/>
      <c r="Q32" s="127">
        <f t="shared" si="0"/>
        <v>719.88</v>
      </c>
    </row>
    <row r="33" spans="1:17" ht="12.75">
      <c r="A33" s="70" t="s">
        <v>181</v>
      </c>
      <c r="B33" s="160"/>
      <c r="C33" s="184"/>
      <c r="D33" s="182">
        <f>2400+7.1</f>
        <v>2407.1</v>
      </c>
      <c r="E33" s="182"/>
      <c r="F33" s="183">
        <f t="shared" si="2"/>
        <v>2407.1</v>
      </c>
      <c r="G33" s="228"/>
      <c r="H33" s="7"/>
      <c r="I33" s="51">
        <f t="shared" si="3"/>
        <v>2407.1</v>
      </c>
      <c r="J33" s="50"/>
      <c r="K33" s="7"/>
      <c r="L33" s="51">
        <f t="shared" si="4"/>
        <v>2407.1</v>
      </c>
      <c r="M33" s="50"/>
      <c r="N33" s="7"/>
      <c r="O33" s="51">
        <f t="shared" si="5"/>
        <v>2407.1</v>
      </c>
      <c r="P33" s="129"/>
      <c r="Q33" s="127">
        <f t="shared" si="0"/>
        <v>2407.1</v>
      </c>
    </row>
    <row r="34" spans="1:17" ht="12.75" hidden="1">
      <c r="A34" s="70" t="s">
        <v>173</v>
      </c>
      <c r="B34" s="160"/>
      <c r="C34" s="184"/>
      <c r="D34" s="182"/>
      <c r="E34" s="182"/>
      <c r="F34" s="183">
        <f t="shared" si="2"/>
        <v>0</v>
      </c>
      <c r="G34" s="228"/>
      <c r="H34" s="7"/>
      <c r="I34" s="51">
        <f t="shared" si="3"/>
        <v>0</v>
      </c>
      <c r="J34" s="50"/>
      <c r="K34" s="7"/>
      <c r="L34" s="51">
        <f t="shared" si="4"/>
        <v>0</v>
      </c>
      <c r="M34" s="50"/>
      <c r="N34" s="7"/>
      <c r="O34" s="51">
        <f t="shared" si="5"/>
        <v>0</v>
      </c>
      <c r="P34" s="129"/>
      <c r="Q34" s="127">
        <f t="shared" si="0"/>
        <v>0</v>
      </c>
    </row>
    <row r="35" spans="1:17" ht="12.75" hidden="1">
      <c r="A35" s="70" t="s">
        <v>182</v>
      </c>
      <c r="B35" s="160"/>
      <c r="C35" s="184"/>
      <c r="D35" s="182"/>
      <c r="E35" s="182"/>
      <c r="F35" s="183">
        <f t="shared" si="2"/>
        <v>0</v>
      </c>
      <c r="G35" s="228"/>
      <c r="H35" s="7"/>
      <c r="I35" s="51">
        <f t="shared" si="3"/>
        <v>0</v>
      </c>
      <c r="J35" s="50"/>
      <c r="K35" s="7"/>
      <c r="L35" s="51">
        <f t="shared" si="4"/>
        <v>0</v>
      </c>
      <c r="M35" s="50"/>
      <c r="N35" s="7"/>
      <c r="O35" s="51">
        <f t="shared" si="5"/>
        <v>0</v>
      </c>
      <c r="P35" s="129"/>
      <c r="Q35" s="127">
        <f t="shared" si="0"/>
        <v>0</v>
      </c>
    </row>
    <row r="36" spans="1:17" ht="12.75" hidden="1">
      <c r="A36" s="70" t="s">
        <v>183</v>
      </c>
      <c r="B36" s="160"/>
      <c r="C36" s="184"/>
      <c r="D36" s="182"/>
      <c r="E36" s="182"/>
      <c r="F36" s="183">
        <f t="shared" si="2"/>
        <v>0</v>
      </c>
      <c r="G36" s="228"/>
      <c r="H36" s="7"/>
      <c r="I36" s="51">
        <f t="shared" si="3"/>
        <v>0</v>
      </c>
      <c r="J36" s="50"/>
      <c r="K36" s="7"/>
      <c r="L36" s="51">
        <f t="shared" si="4"/>
        <v>0</v>
      </c>
      <c r="M36" s="50"/>
      <c r="N36" s="7"/>
      <c r="O36" s="51">
        <f t="shared" si="5"/>
        <v>0</v>
      </c>
      <c r="P36" s="129"/>
      <c r="Q36" s="127">
        <f t="shared" si="0"/>
        <v>0</v>
      </c>
    </row>
    <row r="37" spans="1:17" ht="12.75">
      <c r="A37" s="69" t="s">
        <v>27</v>
      </c>
      <c r="B37" s="159"/>
      <c r="C37" s="184">
        <f>SUM(C38:C43)</f>
        <v>118736.8</v>
      </c>
      <c r="D37" s="182">
        <f>SUM(D38:D43)</f>
        <v>-752.1000000000001</v>
      </c>
      <c r="E37" s="182">
        <f>SUM(E38:E43)</f>
        <v>0</v>
      </c>
      <c r="F37" s="183">
        <f>SUM(F38:F43)</f>
        <v>117984.7</v>
      </c>
      <c r="G37" s="228"/>
      <c r="H37" s="7"/>
      <c r="I37" s="51">
        <f>SUM(I38:I43)</f>
        <v>117984.7</v>
      </c>
      <c r="J37" s="50"/>
      <c r="K37" s="7"/>
      <c r="L37" s="51">
        <f>SUM(L38:L43)</f>
        <v>117984.7</v>
      </c>
      <c r="M37" s="50"/>
      <c r="N37" s="7"/>
      <c r="O37" s="51">
        <f>SUM(O38:O43)</f>
        <v>117984.7</v>
      </c>
      <c r="P37" s="131"/>
      <c r="Q37" s="116">
        <f>SUM(Q38:Q43)</f>
        <v>117984.7</v>
      </c>
    </row>
    <row r="38" spans="1:17" ht="12.75">
      <c r="A38" s="69" t="s">
        <v>28</v>
      </c>
      <c r="B38" s="159"/>
      <c r="C38" s="184">
        <v>42996</v>
      </c>
      <c r="D38" s="182">
        <f>330.3</f>
        <v>330.3</v>
      </c>
      <c r="E38" s="182"/>
      <c r="F38" s="183">
        <f t="shared" si="2"/>
        <v>43326.3</v>
      </c>
      <c r="G38" s="228"/>
      <c r="H38" s="7"/>
      <c r="I38" s="51">
        <f aca="true" t="shared" si="6" ref="I38:I43">F38+G38+H38</f>
        <v>43326.3</v>
      </c>
      <c r="J38" s="50"/>
      <c r="K38" s="7"/>
      <c r="L38" s="51">
        <f aca="true" t="shared" si="7" ref="L38:L43">I38+J38+K38</f>
        <v>43326.3</v>
      </c>
      <c r="M38" s="50"/>
      <c r="N38" s="7"/>
      <c r="O38" s="51">
        <f aca="true" t="shared" si="8" ref="O38:O43">L38+M38+N38</f>
        <v>43326.3</v>
      </c>
      <c r="P38" s="129"/>
      <c r="Q38" s="127">
        <f t="shared" si="0"/>
        <v>43326.3</v>
      </c>
    </row>
    <row r="39" spans="1:17" ht="12.75">
      <c r="A39" s="70" t="s">
        <v>184</v>
      </c>
      <c r="B39" s="160"/>
      <c r="C39" s="184">
        <v>8354.5</v>
      </c>
      <c r="D39" s="182"/>
      <c r="E39" s="182"/>
      <c r="F39" s="183">
        <f t="shared" si="2"/>
        <v>8354.5</v>
      </c>
      <c r="G39" s="228"/>
      <c r="H39" s="7"/>
      <c r="I39" s="51">
        <f t="shared" si="6"/>
        <v>8354.5</v>
      </c>
      <c r="J39" s="50"/>
      <c r="K39" s="7"/>
      <c r="L39" s="51">
        <f t="shared" si="7"/>
        <v>8354.5</v>
      </c>
      <c r="M39" s="50"/>
      <c r="N39" s="7"/>
      <c r="O39" s="51">
        <f t="shared" si="8"/>
        <v>8354.5</v>
      </c>
      <c r="P39" s="129"/>
      <c r="Q39" s="127">
        <f t="shared" si="0"/>
        <v>8354.5</v>
      </c>
    </row>
    <row r="40" spans="1:17" ht="12.75">
      <c r="A40" s="69" t="s">
        <v>29</v>
      </c>
      <c r="B40" s="159"/>
      <c r="C40" s="184">
        <v>22167</v>
      </c>
      <c r="D40" s="182"/>
      <c r="E40" s="182"/>
      <c r="F40" s="183">
        <f t="shared" si="2"/>
        <v>22167</v>
      </c>
      <c r="G40" s="228"/>
      <c r="H40" s="7"/>
      <c r="I40" s="51">
        <f t="shared" si="6"/>
        <v>22167</v>
      </c>
      <c r="J40" s="50"/>
      <c r="K40" s="7"/>
      <c r="L40" s="51">
        <f t="shared" si="7"/>
        <v>22167</v>
      </c>
      <c r="M40" s="50"/>
      <c r="N40" s="7"/>
      <c r="O40" s="51">
        <f t="shared" si="8"/>
        <v>22167</v>
      </c>
      <c r="P40" s="129"/>
      <c r="Q40" s="127">
        <f t="shared" si="0"/>
        <v>22167</v>
      </c>
    </row>
    <row r="41" spans="1:17" ht="12.75">
      <c r="A41" s="70" t="s">
        <v>185</v>
      </c>
      <c r="B41" s="160"/>
      <c r="C41" s="184">
        <v>11173.3</v>
      </c>
      <c r="D41" s="182">
        <f>-1082.4</f>
        <v>-1082.4</v>
      </c>
      <c r="E41" s="182"/>
      <c r="F41" s="183">
        <f t="shared" si="2"/>
        <v>10090.9</v>
      </c>
      <c r="G41" s="228"/>
      <c r="H41" s="7"/>
      <c r="I41" s="51">
        <f t="shared" si="6"/>
        <v>10090.9</v>
      </c>
      <c r="J41" s="50"/>
      <c r="K41" s="7"/>
      <c r="L41" s="51">
        <f t="shared" si="7"/>
        <v>10090.9</v>
      </c>
      <c r="M41" s="50"/>
      <c r="N41" s="7"/>
      <c r="O41" s="51">
        <f t="shared" si="8"/>
        <v>10090.9</v>
      </c>
      <c r="P41" s="129"/>
      <c r="Q41" s="127">
        <f t="shared" si="0"/>
        <v>10090.9</v>
      </c>
    </row>
    <row r="42" spans="1:17" ht="12.75">
      <c r="A42" s="70" t="s">
        <v>286</v>
      </c>
      <c r="B42" s="160"/>
      <c r="C42" s="184">
        <v>350</v>
      </c>
      <c r="D42" s="182"/>
      <c r="E42" s="182"/>
      <c r="F42" s="183">
        <f t="shared" si="2"/>
        <v>350</v>
      </c>
      <c r="G42" s="228"/>
      <c r="H42" s="7"/>
      <c r="I42" s="51">
        <f t="shared" si="6"/>
        <v>350</v>
      </c>
      <c r="J42" s="50"/>
      <c r="K42" s="7"/>
      <c r="L42" s="51">
        <f t="shared" si="7"/>
        <v>350</v>
      </c>
      <c r="M42" s="50"/>
      <c r="N42" s="7"/>
      <c r="O42" s="51">
        <f t="shared" si="8"/>
        <v>350</v>
      </c>
      <c r="P42" s="129"/>
      <c r="Q42" s="127">
        <f t="shared" si="0"/>
        <v>350</v>
      </c>
    </row>
    <row r="43" spans="1:17" ht="12.75">
      <c r="A43" s="70" t="s">
        <v>186</v>
      </c>
      <c r="B43" s="160"/>
      <c r="C43" s="184">
        <v>33696</v>
      </c>
      <c r="D43" s="182"/>
      <c r="E43" s="182"/>
      <c r="F43" s="183">
        <f t="shared" si="2"/>
        <v>33696</v>
      </c>
      <c r="G43" s="228"/>
      <c r="H43" s="7"/>
      <c r="I43" s="51">
        <f t="shared" si="6"/>
        <v>33696</v>
      </c>
      <c r="J43" s="50"/>
      <c r="K43" s="7"/>
      <c r="L43" s="51">
        <f t="shared" si="7"/>
        <v>33696</v>
      </c>
      <c r="M43" s="50"/>
      <c r="N43" s="7"/>
      <c r="O43" s="51">
        <f t="shared" si="8"/>
        <v>33696</v>
      </c>
      <c r="P43" s="129"/>
      <c r="Q43" s="127">
        <f>O43+P43</f>
        <v>33696</v>
      </c>
    </row>
    <row r="44" spans="1:6" ht="12.75">
      <c r="A44" s="70" t="s">
        <v>252</v>
      </c>
      <c r="B44" s="160"/>
      <c r="C44" s="184"/>
      <c r="D44" s="248">
        <f>39.51+246.77+856.59+843.91+8</f>
        <v>1994.7800000000002</v>
      </c>
      <c r="E44" s="182"/>
      <c r="F44" s="183">
        <f t="shared" si="2"/>
        <v>1994.7800000000002</v>
      </c>
    </row>
    <row r="45" spans="1:17" ht="12.75">
      <c r="A45" s="71" t="s">
        <v>303</v>
      </c>
      <c r="B45" s="161"/>
      <c r="C45" s="185">
        <f>SUM(C47:C50)</f>
        <v>15000</v>
      </c>
      <c r="D45" s="186">
        <f>SUM(D47:D50)</f>
        <v>0</v>
      </c>
      <c r="E45" s="186">
        <f>SUM(E47:E50)</f>
        <v>0</v>
      </c>
      <c r="F45" s="187">
        <f>SUM(F47:F50)</f>
        <v>15000</v>
      </c>
      <c r="G45" s="17"/>
      <c r="H45" s="8"/>
      <c r="I45" s="53">
        <f>SUM(I47:I50)</f>
        <v>15000</v>
      </c>
      <c r="J45" s="52"/>
      <c r="K45" s="8"/>
      <c r="L45" s="53">
        <f>SUM(L47:L50)</f>
        <v>15000</v>
      </c>
      <c r="M45" s="52"/>
      <c r="N45" s="8"/>
      <c r="O45" s="53">
        <f>SUM(O47:O50)</f>
        <v>15000</v>
      </c>
      <c r="P45" s="132"/>
      <c r="Q45" s="63">
        <f>SUM(Q47:Q50)</f>
        <v>15000</v>
      </c>
    </row>
    <row r="46" spans="1:17" ht="11.25" customHeight="1">
      <c r="A46" s="68" t="s">
        <v>20</v>
      </c>
      <c r="B46" s="158"/>
      <c r="C46" s="184"/>
      <c r="D46" s="182"/>
      <c r="E46" s="182"/>
      <c r="F46" s="183"/>
      <c r="G46" s="228"/>
      <c r="H46" s="7"/>
      <c r="I46" s="51"/>
      <c r="J46" s="50"/>
      <c r="K46" s="7"/>
      <c r="L46" s="51"/>
      <c r="M46" s="50"/>
      <c r="N46" s="7"/>
      <c r="O46" s="51"/>
      <c r="P46" s="129"/>
      <c r="Q46" s="127"/>
    </row>
    <row r="47" spans="1:17" ht="12.75" hidden="1">
      <c r="A47" s="69" t="s">
        <v>30</v>
      </c>
      <c r="B47" s="159"/>
      <c r="C47" s="184"/>
      <c r="D47" s="182"/>
      <c r="E47" s="182"/>
      <c r="F47" s="183">
        <f>C47+D47+E47</f>
        <v>0</v>
      </c>
      <c r="G47" s="228"/>
      <c r="H47" s="7"/>
      <c r="I47" s="51">
        <f>F47+G47+H47</f>
        <v>0</v>
      </c>
      <c r="J47" s="50"/>
      <c r="K47" s="7"/>
      <c r="L47" s="51">
        <f>I47+J47+K47</f>
        <v>0</v>
      </c>
      <c r="M47" s="50"/>
      <c r="N47" s="7"/>
      <c r="O47" s="51">
        <f>L47+M47+N47</f>
        <v>0</v>
      </c>
      <c r="P47" s="129"/>
      <c r="Q47" s="127">
        <f t="shared" si="0"/>
        <v>0</v>
      </c>
    </row>
    <row r="48" spans="1:17" ht="12.75" hidden="1">
      <c r="A48" s="70" t="s">
        <v>187</v>
      </c>
      <c r="B48" s="160"/>
      <c r="C48" s="184"/>
      <c r="D48" s="182"/>
      <c r="E48" s="182"/>
      <c r="F48" s="183">
        <f>C48+D48+E48</f>
        <v>0</v>
      </c>
      <c r="G48" s="228"/>
      <c r="H48" s="7"/>
      <c r="I48" s="51">
        <f>F48+G48+H48</f>
        <v>0</v>
      </c>
      <c r="J48" s="65"/>
      <c r="K48" s="7"/>
      <c r="L48" s="51">
        <f>I48+J48+K48</f>
        <v>0</v>
      </c>
      <c r="M48" s="65"/>
      <c r="N48" s="7"/>
      <c r="O48" s="51">
        <f>L48+M48+N48</f>
        <v>0</v>
      </c>
      <c r="P48" s="129"/>
      <c r="Q48" s="127">
        <f t="shared" si="0"/>
        <v>0</v>
      </c>
    </row>
    <row r="49" spans="1:17" ht="12.75">
      <c r="A49" s="70" t="s">
        <v>253</v>
      </c>
      <c r="B49" s="160"/>
      <c r="C49" s="184">
        <v>15000</v>
      </c>
      <c r="D49" s="182"/>
      <c r="E49" s="182"/>
      <c r="F49" s="183">
        <f>C49+D49+E49</f>
        <v>15000</v>
      </c>
      <c r="G49" s="228"/>
      <c r="H49" s="7"/>
      <c r="I49" s="51">
        <f>F49+G49+H49</f>
        <v>15000</v>
      </c>
      <c r="J49" s="65"/>
      <c r="K49" s="7"/>
      <c r="L49" s="51">
        <f>I49+J49+K49</f>
        <v>15000</v>
      </c>
      <c r="M49" s="65"/>
      <c r="N49" s="7"/>
      <c r="O49" s="51">
        <f>L49+M49+N49</f>
        <v>15000</v>
      </c>
      <c r="P49" s="129"/>
      <c r="Q49" s="127">
        <f t="shared" si="0"/>
        <v>15000</v>
      </c>
    </row>
    <row r="50" spans="1:17" ht="12.75" hidden="1">
      <c r="A50" s="69" t="s">
        <v>31</v>
      </c>
      <c r="B50" s="159"/>
      <c r="C50" s="184"/>
      <c r="D50" s="182"/>
      <c r="E50" s="182"/>
      <c r="F50" s="183">
        <f>C50+D50+E50</f>
        <v>0</v>
      </c>
      <c r="G50" s="228"/>
      <c r="H50" s="7"/>
      <c r="I50" s="51">
        <f>F50+G50+H50</f>
        <v>0</v>
      </c>
      <c r="J50" s="50"/>
      <c r="K50" s="7"/>
      <c r="L50" s="51">
        <f>I50+J50+K50</f>
        <v>0</v>
      </c>
      <c r="M50" s="50"/>
      <c r="N50" s="7"/>
      <c r="O50" s="51">
        <f>L50+M50+N50</f>
        <v>0</v>
      </c>
      <c r="P50" s="129"/>
      <c r="Q50" s="127">
        <f t="shared" si="0"/>
        <v>0</v>
      </c>
    </row>
    <row r="51" spans="1:17" ht="12.75">
      <c r="A51" s="71" t="s">
        <v>304</v>
      </c>
      <c r="B51" s="159"/>
      <c r="C51" s="184"/>
      <c r="D51" s="182"/>
      <c r="E51" s="182"/>
      <c r="F51" s="183"/>
      <c r="G51" s="228"/>
      <c r="H51" s="7"/>
      <c r="I51" s="51"/>
      <c r="J51" s="50"/>
      <c r="K51" s="7"/>
      <c r="L51" s="51"/>
      <c r="M51" s="50"/>
      <c r="N51" s="7"/>
      <c r="O51" s="51"/>
      <c r="P51" s="129"/>
      <c r="Q51" s="127"/>
    </row>
    <row r="52" spans="1:17" ht="12.75">
      <c r="A52" s="67" t="s">
        <v>32</v>
      </c>
      <c r="B52" s="157"/>
      <c r="C52" s="179">
        <f>SUM(C54:C73)</f>
        <v>79947.4</v>
      </c>
      <c r="D52" s="180">
        <f>SUM(D54:D73)</f>
        <v>5755826.28</v>
      </c>
      <c r="E52" s="180">
        <f>SUM(E54:E73)</f>
        <v>0</v>
      </c>
      <c r="F52" s="181">
        <f>SUM(F54:F73)</f>
        <v>5835773.680000001</v>
      </c>
      <c r="G52" s="227"/>
      <c r="H52" s="6"/>
      <c r="I52" s="49">
        <f>SUM(I54:I72)</f>
        <v>5833638.300000001</v>
      </c>
      <c r="J52" s="48"/>
      <c r="K52" s="6"/>
      <c r="L52" s="49">
        <f>SUM(L54:L73)</f>
        <v>5833638.300000001</v>
      </c>
      <c r="M52" s="48"/>
      <c r="N52" s="6"/>
      <c r="O52" s="49">
        <f>SUM(O54:O73)</f>
        <v>5833638.300000001</v>
      </c>
      <c r="P52" s="130"/>
      <c r="Q52" s="107">
        <f>SUM(Q54:Q73)</f>
        <v>5833638.300000001</v>
      </c>
    </row>
    <row r="53" spans="1:17" ht="10.5" customHeight="1">
      <c r="A53" s="72" t="s">
        <v>33</v>
      </c>
      <c r="B53" s="162"/>
      <c r="C53" s="184"/>
      <c r="D53" s="182"/>
      <c r="E53" s="182"/>
      <c r="F53" s="183"/>
      <c r="G53" s="228"/>
      <c r="H53" s="7"/>
      <c r="I53" s="51"/>
      <c r="J53" s="50"/>
      <c r="K53" s="7"/>
      <c r="L53" s="51"/>
      <c r="M53" s="50"/>
      <c r="N53" s="7"/>
      <c r="O53" s="51"/>
      <c r="P53" s="129"/>
      <c r="Q53" s="127"/>
    </row>
    <row r="54" spans="1:17" ht="12.75">
      <c r="A54" s="70" t="s">
        <v>34</v>
      </c>
      <c r="B54" s="160"/>
      <c r="C54" s="184">
        <v>79697.4</v>
      </c>
      <c r="D54" s="182"/>
      <c r="E54" s="182"/>
      <c r="F54" s="183">
        <f aca="true" t="shared" si="9" ref="F54:F73">C54+D54+E54</f>
        <v>79697.4</v>
      </c>
      <c r="G54" s="228"/>
      <c r="H54" s="7"/>
      <c r="I54" s="51">
        <f>F54+G54+H54</f>
        <v>79697.4</v>
      </c>
      <c r="J54" s="50"/>
      <c r="K54" s="7"/>
      <c r="L54" s="51">
        <f>I54+J54+K54</f>
        <v>79697.4</v>
      </c>
      <c r="M54" s="50"/>
      <c r="N54" s="7"/>
      <c r="O54" s="51">
        <f>L54+M54+N54</f>
        <v>79697.4</v>
      </c>
      <c r="P54" s="129"/>
      <c r="Q54" s="127">
        <f t="shared" si="0"/>
        <v>79697.4</v>
      </c>
    </row>
    <row r="55" spans="1:17" ht="12.75">
      <c r="A55" s="70" t="s">
        <v>35</v>
      </c>
      <c r="B55" s="160"/>
      <c r="C55" s="184"/>
      <c r="D55" s="182">
        <f>43.5+176.59+186.8</f>
        <v>406.89</v>
      </c>
      <c r="E55" s="182"/>
      <c r="F55" s="183">
        <f t="shared" si="9"/>
        <v>406.89</v>
      </c>
      <c r="G55" s="228"/>
      <c r="H55" s="7"/>
      <c r="I55" s="51">
        <f aca="true" t="shared" si="10" ref="I55:I72">F55+G55+H55</f>
        <v>406.89</v>
      </c>
      <c r="J55" s="50"/>
      <c r="K55" s="7"/>
      <c r="L55" s="51">
        <f aca="true" t="shared" si="11" ref="L55:L73">I55+J55+K55</f>
        <v>406.89</v>
      </c>
      <c r="M55" s="50"/>
      <c r="N55" s="7"/>
      <c r="O55" s="51">
        <f aca="true" t="shared" si="12" ref="O55:O73">L55+M55+N55</f>
        <v>406.89</v>
      </c>
      <c r="P55" s="129"/>
      <c r="Q55" s="127">
        <f t="shared" si="0"/>
        <v>406.89</v>
      </c>
    </row>
    <row r="56" spans="1:17" ht="12.75">
      <c r="A56" s="70" t="s">
        <v>36</v>
      </c>
      <c r="B56" s="160"/>
      <c r="C56" s="184"/>
      <c r="D56" s="182">
        <f>1373+5045968.66+61775.7+8921.07+363.12+8587.89+256.1+984+5144.59+7762.19+8844.48+17565.21+149.6</f>
        <v>5167695.61</v>
      </c>
      <c r="E56" s="182"/>
      <c r="F56" s="183">
        <f t="shared" si="9"/>
        <v>5167695.61</v>
      </c>
      <c r="G56" s="228"/>
      <c r="H56" s="7"/>
      <c r="I56" s="51">
        <f t="shared" si="10"/>
        <v>5167695.61</v>
      </c>
      <c r="J56" s="50"/>
      <c r="K56" s="7"/>
      <c r="L56" s="51">
        <f t="shared" si="11"/>
        <v>5167695.61</v>
      </c>
      <c r="M56" s="50"/>
      <c r="N56" s="7"/>
      <c r="O56" s="51">
        <f t="shared" si="12"/>
        <v>5167695.61</v>
      </c>
      <c r="P56" s="129"/>
      <c r="Q56" s="127">
        <f t="shared" si="0"/>
        <v>5167695.61</v>
      </c>
    </row>
    <row r="57" spans="1:17" ht="12.75">
      <c r="A57" s="70" t="s">
        <v>37</v>
      </c>
      <c r="B57" s="160"/>
      <c r="C57" s="184"/>
      <c r="D57" s="182">
        <f>485940+2500+94024.14+2252.06</f>
        <v>584716.2000000001</v>
      </c>
      <c r="E57" s="182"/>
      <c r="F57" s="183">
        <f t="shared" si="9"/>
        <v>584716.2000000001</v>
      </c>
      <c r="G57" s="228"/>
      <c r="H57" s="7"/>
      <c r="I57" s="51">
        <f t="shared" si="10"/>
        <v>584716.2000000001</v>
      </c>
      <c r="J57" s="50"/>
      <c r="K57" s="7"/>
      <c r="L57" s="51">
        <f t="shared" si="11"/>
        <v>584716.2000000001</v>
      </c>
      <c r="M57" s="50"/>
      <c r="N57" s="7"/>
      <c r="O57" s="51">
        <f t="shared" si="12"/>
        <v>584716.2000000001</v>
      </c>
      <c r="P57" s="129"/>
      <c r="Q57" s="127">
        <f t="shared" si="0"/>
        <v>584716.2000000001</v>
      </c>
    </row>
    <row r="58" spans="1:17" ht="12.75">
      <c r="A58" s="70" t="s">
        <v>38</v>
      </c>
      <c r="B58" s="160"/>
      <c r="C58" s="184"/>
      <c r="D58" s="182">
        <f>44.83+27.24+728.31+27.1+44.72</f>
        <v>872.1999999999999</v>
      </c>
      <c r="E58" s="182"/>
      <c r="F58" s="183">
        <f t="shared" si="9"/>
        <v>872.1999999999999</v>
      </c>
      <c r="G58" s="228"/>
      <c r="H58" s="7"/>
      <c r="I58" s="51">
        <f t="shared" si="10"/>
        <v>872.1999999999999</v>
      </c>
      <c r="J58" s="50"/>
      <c r="K58" s="7"/>
      <c r="L58" s="51">
        <f t="shared" si="11"/>
        <v>872.1999999999999</v>
      </c>
      <c r="M58" s="50"/>
      <c r="N58" s="7"/>
      <c r="O58" s="51">
        <f t="shared" si="12"/>
        <v>872.1999999999999</v>
      </c>
      <c r="P58" s="129"/>
      <c r="Q58" s="127">
        <f t="shared" si="0"/>
        <v>872.1999999999999</v>
      </c>
    </row>
    <row r="59" spans="1:17" ht="12.75" hidden="1">
      <c r="A59" s="70" t="s">
        <v>39</v>
      </c>
      <c r="B59" s="160"/>
      <c r="C59" s="184"/>
      <c r="D59" s="182"/>
      <c r="E59" s="182"/>
      <c r="F59" s="183">
        <f t="shared" si="9"/>
        <v>0</v>
      </c>
      <c r="G59" s="228"/>
      <c r="H59" s="7"/>
      <c r="I59" s="51">
        <f t="shared" si="10"/>
        <v>0</v>
      </c>
      <c r="J59" s="50"/>
      <c r="K59" s="7"/>
      <c r="L59" s="51">
        <f t="shared" si="11"/>
        <v>0</v>
      </c>
      <c r="M59" s="50"/>
      <c r="N59" s="7"/>
      <c r="O59" s="51">
        <f t="shared" si="12"/>
        <v>0</v>
      </c>
      <c r="P59" s="129"/>
      <c r="Q59" s="127">
        <f t="shared" si="0"/>
        <v>0</v>
      </c>
    </row>
    <row r="60" spans="1:17" ht="12.75" hidden="1">
      <c r="A60" s="70" t="s">
        <v>40</v>
      </c>
      <c r="B60" s="160"/>
      <c r="C60" s="184"/>
      <c r="D60" s="182"/>
      <c r="E60" s="182"/>
      <c r="F60" s="183">
        <f t="shared" si="9"/>
        <v>0</v>
      </c>
      <c r="G60" s="228"/>
      <c r="H60" s="7"/>
      <c r="I60" s="51">
        <f t="shared" si="10"/>
        <v>0</v>
      </c>
      <c r="J60" s="50"/>
      <c r="K60" s="7"/>
      <c r="L60" s="51">
        <f t="shared" si="11"/>
        <v>0</v>
      </c>
      <c r="M60" s="50"/>
      <c r="N60" s="7"/>
      <c r="O60" s="51">
        <f t="shared" si="12"/>
        <v>0</v>
      </c>
      <c r="P60" s="129"/>
      <c r="Q60" s="127">
        <f t="shared" si="0"/>
        <v>0</v>
      </c>
    </row>
    <row r="61" spans="1:17" ht="12.75" hidden="1">
      <c r="A61" s="70" t="s">
        <v>41</v>
      </c>
      <c r="B61" s="160"/>
      <c r="C61" s="184"/>
      <c r="D61" s="182"/>
      <c r="E61" s="182"/>
      <c r="F61" s="183">
        <f t="shared" si="9"/>
        <v>0</v>
      </c>
      <c r="G61" s="228"/>
      <c r="H61" s="7"/>
      <c r="I61" s="51">
        <f t="shared" si="10"/>
        <v>0</v>
      </c>
      <c r="J61" s="50"/>
      <c r="K61" s="7"/>
      <c r="L61" s="51">
        <f t="shared" si="11"/>
        <v>0</v>
      </c>
      <c r="M61" s="50"/>
      <c r="N61" s="7"/>
      <c r="O61" s="51">
        <f t="shared" si="12"/>
        <v>0</v>
      </c>
      <c r="P61" s="129"/>
      <c r="Q61" s="127">
        <f t="shared" si="0"/>
        <v>0</v>
      </c>
    </row>
    <row r="62" spans="1:17" ht="12.75" hidden="1">
      <c r="A62" s="70" t="s">
        <v>167</v>
      </c>
      <c r="B62" s="160"/>
      <c r="C62" s="184"/>
      <c r="D62" s="182"/>
      <c r="E62" s="182"/>
      <c r="F62" s="183">
        <f t="shared" si="9"/>
        <v>0</v>
      </c>
      <c r="G62" s="228"/>
      <c r="H62" s="7"/>
      <c r="I62" s="51">
        <f t="shared" si="10"/>
        <v>0</v>
      </c>
      <c r="J62" s="50"/>
      <c r="K62" s="7"/>
      <c r="L62" s="51">
        <f t="shared" si="11"/>
        <v>0</v>
      </c>
      <c r="M62" s="50"/>
      <c r="N62" s="7"/>
      <c r="O62" s="51">
        <f t="shared" si="12"/>
        <v>0</v>
      </c>
      <c r="P62" s="129"/>
      <c r="Q62" s="127">
        <f t="shared" si="0"/>
        <v>0</v>
      </c>
    </row>
    <row r="63" spans="1:17" ht="12.75">
      <c r="A63" s="70" t="s">
        <v>192</v>
      </c>
      <c r="B63" s="160"/>
      <c r="C63" s="184"/>
      <c r="D63" s="182">
        <f>2135.38</f>
        <v>2135.38</v>
      </c>
      <c r="E63" s="182"/>
      <c r="F63" s="183">
        <f t="shared" si="9"/>
        <v>2135.38</v>
      </c>
      <c r="G63" s="228"/>
      <c r="H63" s="7"/>
      <c r="I63" s="51"/>
      <c r="J63" s="50"/>
      <c r="K63" s="7"/>
      <c r="L63" s="51"/>
      <c r="M63" s="50"/>
      <c r="N63" s="7"/>
      <c r="O63" s="51">
        <f t="shared" si="12"/>
        <v>0</v>
      </c>
      <c r="P63" s="129"/>
      <c r="Q63" s="127">
        <f t="shared" si="0"/>
        <v>0</v>
      </c>
    </row>
    <row r="64" spans="1:17" ht="12.75" hidden="1">
      <c r="A64" s="70" t="s">
        <v>42</v>
      </c>
      <c r="B64" s="160"/>
      <c r="C64" s="184"/>
      <c r="D64" s="182"/>
      <c r="E64" s="182"/>
      <c r="F64" s="183">
        <f t="shared" si="9"/>
        <v>0</v>
      </c>
      <c r="G64" s="228"/>
      <c r="H64" s="7"/>
      <c r="I64" s="51">
        <f t="shared" si="10"/>
        <v>0</v>
      </c>
      <c r="J64" s="50"/>
      <c r="K64" s="7"/>
      <c r="L64" s="51">
        <f t="shared" si="11"/>
        <v>0</v>
      </c>
      <c r="M64" s="50"/>
      <c r="N64" s="7"/>
      <c r="O64" s="51">
        <f t="shared" si="12"/>
        <v>0</v>
      </c>
      <c r="P64" s="144"/>
      <c r="Q64" s="127">
        <f t="shared" si="0"/>
        <v>0</v>
      </c>
    </row>
    <row r="65" spans="1:17" ht="12.75" hidden="1">
      <c r="A65" s="70" t="s">
        <v>43</v>
      </c>
      <c r="B65" s="160"/>
      <c r="C65" s="184"/>
      <c r="D65" s="182"/>
      <c r="E65" s="182"/>
      <c r="F65" s="183">
        <f t="shared" si="9"/>
        <v>0</v>
      </c>
      <c r="G65" s="228"/>
      <c r="H65" s="7"/>
      <c r="I65" s="51">
        <f t="shared" si="10"/>
        <v>0</v>
      </c>
      <c r="J65" s="65"/>
      <c r="K65" s="7"/>
      <c r="L65" s="51">
        <f t="shared" si="11"/>
        <v>0</v>
      </c>
      <c r="M65" s="50"/>
      <c r="N65" s="7"/>
      <c r="O65" s="51">
        <f t="shared" si="12"/>
        <v>0</v>
      </c>
      <c r="P65" s="129"/>
      <c r="Q65" s="127">
        <f t="shared" si="0"/>
        <v>0</v>
      </c>
    </row>
    <row r="66" spans="1:17" ht="12.75" hidden="1">
      <c r="A66" s="70" t="s">
        <v>265</v>
      </c>
      <c r="B66" s="160"/>
      <c r="C66" s="184"/>
      <c r="D66" s="182"/>
      <c r="E66" s="182"/>
      <c r="F66" s="183">
        <f t="shared" si="9"/>
        <v>0</v>
      </c>
      <c r="G66" s="228"/>
      <c r="H66" s="7"/>
      <c r="I66" s="51"/>
      <c r="J66" s="65"/>
      <c r="K66" s="7"/>
      <c r="L66" s="51"/>
      <c r="M66" s="50"/>
      <c r="N66" s="7"/>
      <c r="O66" s="51"/>
      <c r="P66" s="129"/>
      <c r="Q66" s="127"/>
    </row>
    <row r="67" spans="1:17" ht="12.75" hidden="1">
      <c r="A67" s="70" t="s">
        <v>193</v>
      </c>
      <c r="B67" s="160"/>
      <c r="C67" s="184"/>
      <c r="D67" s="182"/>
      <c r="E67" s="182"/>
      <c r="F67" s="183">
        <f t="shared" si="9"/>
        <v>0</v>
      </c>
      <c r="G67" s="228"/>
      <c r="H67" s="7"/>
      <c r="I67" s="51"/>
      <c r="J67" s="65"/>
      <c r="K67" s="7"/>
      <c r="L67" s="51"/>
      <c r="M67" s="50"/>
      <c r="N67" s="7"/>
      <c r="O67" s="51">
        <f t="shared" si="12"/>
        <v>0</v>
      </c>
      <c r="P67" s="129"/>
      <c r="Q67" s="127">
        <f t="shared" si="0"/>
        <v>0</v>
      </c>
    </row>
    <row r="68" spans="1:17" ht="12.75" hidden="1">
      <c r="A68" s="70" t="s">
        <v>44</v>
      </c>
      <c r="B68" s="160"/>
      <c r="C68" s="184"/>
      <c r="D68" s="182"/>
      <c r="E68" s="182"/>
      <c r="F68" s="183">
        <f t="shared" si="9"/>
        <v>0</v>
      </c>
      <c r="G68" s="228"/>
      <c r="H68" s="7"/>
      <c r="I68" s="51">
        <f t="shared" si="10"/>
        <v>0</v>
      </c>
      <c r="J68" s="50"/>
      <c r="K68" s="7"/>
      <c r="L68" s="51">
        <f t="shared" si="11"/>
        <v>0</v>
      </c>
      <c r="M68" s="50"/>
      <c r="N68" s="7"/>
      <c r="O68" s="51">
        <f t="shared" si="12"/>
        <v>0</v>
      </c>
      <c r="P68" s="129"/>
      <c r="Q68" s="127">
        <f t="shared" si="0"/>
        <v>0</v>
      </c>
    </row>
    <row r="69" spans="1:17" ht="12.75" hidden="1">
      <c r="A69" s="70" t="s">
        <v>55</v>
      </c>
      <c r="B69" s="160"/>
      <c r="C69" s="184"/>
      <c r="D69" s="182"/>
      <c r="E69" s="182"/>
      <c r="F69" s="183">
        <f t="shared" si="9"/>
        <v>0</v>
      </c>
      <c r="G69" s="228"/>
      <c r="H69" s="7"/>
      <c r="I69" s="51">
        <f t="shared" si="10"/>
        <v>0</v>
      </c>
      <c r="J69" s="50"/>
      <c r="K69" s="7"/>
      <c r="L69" s="51">
        <f t="shared" si="11"/>
        <v>0</v>
      </c>
      <c r="M69" s="50"/>
      <c r="N69" s="7"/>
      <c r="O69" s="51">
        <f t="shared" si="12"/>
        <v>0</v>
      </c>
      <c r="P69" s="129"/>
      <c r="Q69" s="127">
        <f t="shared" si="0"/>
        <v>0</v>
      </c>
    </row>
    <row r="70" spans="1:17" ht="12.75" hidden="1">
      <c r="A70" s="70" t="s">
        <v>45</v>
      </c>
      <c r="B70" s="160"/>
      <c r="C70" s="184"/>
      <c r="D70" s="182"/>
      <c r="E70" s="182"/>
      <c r="F70" s="183">
        <f t="shared" si="9"/>
        <v>0</v>
      </c>
      <c r="G70" s="228"/>
      <c r="H70" s="7"/>
      <c r="I70" s="51">
        <f t="shared" si="10"/>
        <v>0</v>
      </c>
      <c r="J70" s="50"/>
      <c r="K70" s="7"/>
      <c r="L70" s="51">
        <f t="shared" si="11"/>
        <v>0</v>
      </c>
      <c r="M70" s="50"/>
      <c r="N70" s="7"/>
      <c r="O70" s="51">
        <f t="shared" si="12"/>
        <v>0</v>
      </c>
      <c r="P70" s="129"/>
      <c r="Q70" s="127">
        <f t="shared" si="0"/>
        <v>0</v>
      </c>
    </row>
    <row r="71" spans="1:17" ht="12.75" hidden="1">
      <c r="A71" s="70" t="s">
        <v>46</v>
      </c>
      <c r="B71" s="160"/>
      <c r="C71" s="184"/>
      <c r="D71" s="182"/>
      <c r="E71" s="182"/>
      <c r="F71" s="183">
        <f t="shared" si="9"/>
        <v>0</v>
      </c>
      <c r="G71" s="228"/>
      <c r="H71" s="7"/>
      <c r="I71" s="51">
        <f t="shared" si="10"/>
        <v>0</v>
      </c>
      <c r="J71" s="50"/>
      <c r="K71" s="7"/>
      <c r="L71" s="51">
        <f t="shared" si="11"/>
        <v>0</v>
      </c>
      <c r="M71" s="50"/>
      <c r="N71" s="7"/>
      <c r="O71" s="51">
        <f t="shared" si="12"/>
        <v>0</v>
      </c>
      <c r="P71" s="129"/>
      <c r="Q71" s="127">
        <f t="shared" si="0"/>
        <v>0</v>
      </c>
    </row>
    <row r="72" spans="1:17" ht="12.75">
      <c r="A72" s="70" t="s">
        <v>47</v>
      </c>
      <c r="B72" s="160"/>
      <c r="C72" s="184">
        <v>250</v>
      </c>
      <c r="D72" s="182"/>
      <c r="E72" s="182"/>
      <c r="F72" s="183">
        <f t="shared" si="9"/>
        <v>250</v>
      </c>
      <c r="G72" s="228"/>
      <c r="H72" s="7"/>
      <c r="I72" s="51">
        <f t="shared" si="10"/>
        <v>250</v>
      </c>
      <c r="J72" s="50"/>
      <c r="K72" s="7"/>
      <c r="L72" s="51">
        <f t="shared" si="11"/>
        <v>250</v>
      </c>
      <c r="M72" s="50"/>
      <c r="N72" s="7"/>
      <c r="O72" s="51">
        <f t="shared" si="12"/>
        <v>250</v>
      </c>
      <c r="P72" s="129"/>
      <c r="Q72" s="127">
        <f t="shared" si="0"/>
        <v>250</v>
      </c>
    </row>
    <row r="73" spans="1:17" ht="12.75" hidden="1">
      <c r="A73" s="70" t="s">
        <v>201</v>
      </c>
      <c r="B73" s="160"/>
      <c r="C73" s="184"/>
      <c r="D73" s="182"/>
      <c r="E73" s="182"/>
      <c r="F73" s="183">
        <f t="shared" si="9"/>
        <v>0</v>
      </c>
      <c r="G73" s="228"/>
      <c r="H73" s="7"/>
      <c r="I73" s="51"/>
      <c r="J73" s="50"/>
      <c r="K73" s="7"/>
      <c r="L73" s="51">
        <f t="shared" si="11"/>
        <v>0</v>
      </c>
      <c r="M73" s="50"/>
      <c r="N73" s="7"/>
      <c r="O73" s="51">
        <f t="shared" si="12"/>
        <v>0</v>
      </c>
      <c r="P73" s="129"/>
      <c r="Q73" s="127">
        <f t="shared" si="0"/>
        <v>0</v>
      </c>
    </row>
    <row r="74" spans="1:17" ht="12.75" hidden="1">
      <c r="A74" s="71" t="s">
        <v>48</v>
      </c>
      <c r="B74" s="161"/>
      <c r="C74" s="244">
        <f>SUM(C76:C78)</f>
        <v>0</v>
      </c>
      <c r="D74" s="186">
        <f>SUM(D76:D78)</f>
        <v>0</v>
      </c>
      <c r="E74" s="186">
        <f>SUM(E76:E78)</f>
        <v>0</v>
      </c>
      <c r="F74" s="187">
        <f>SUM(F76:F78)</f>
        <v>0</v>
      </c>
      <c r="G74" s="17"/>
      <c r="H74" s="8"/>
      <c r="I74" s="53">
        <f>SUM(I76:I78)</f>
        <v>0</v>
      </c>
      <c r="J74" s="52"/>
      <c r="K74" s="8"/>
      <c r="L74" s="53">
        <f>SUM(L76:L78)</f>
        <v>0</v>
      </c>
      <c r="M74" s="52"/>
      <c r="N74" s="8"/>
      <c r="O74" s="53">
        <f>SUM(O76:O78)</f>
        <v>0</v>
      </c>
      <c r="P74" s="132"/>
      <c r="Q74" s="63">
        <f>SUM(Q76:Q78)</f>
        <v>0</v>
      </c>
    </row>
    <row r="75" spans="1:17" ht="12.75" hidden="1">
      <c r="A75" s="68" t="s">
        <v>33</v>
      </c>
      <c r="B75" s="158"/>
      <c r="C75" s="184"/>
      <c r="D75" s="182"/>
      <c r="E75" s="182"/>
      <c r="F75" s="183"/>
      <c r="G75" s="228"/>
      <c r="H75" s="7"/>
      <c r="I75" s="51"/>
      <c r="J75" s="50"/>
      <c r="K75" s="7"/>
      <c r="L75" s="51"/>
      <c r="M75" s="50"/>
      <c r="N75" s="7"/>
      <c r="O75" s="51">
        <f>L75+M75+N75</f>
        <v>0</v>
      </c>
      <c r="P75" s="129"/>
      <c r="Q75" s="127"/>
    </row>
    <row r="76" spans="1:17" ht="12.75" hidden="1">
      <c r="A76" s="70" t="s">
        <v>49</v>
      </c>
      <c r="B76" s="160"/>
      <c r="C76" s="184"/>
      <c r="D76" s="182"/>
      <c r="E76" s="182"/>
      <c r="F76" s="183">
        <f>C76+D76+E76</f>
        <v>0</v>
      </c>
      <c r="G76" s="228"/>
      <c r="H76" s="7"/>
      <c r="I76" s="51">
        <f>F76+G76+H76</f>
        <v>0</v>
      </c>
      <c r="J76" s="50"/>
      <c r="K76" s="7"/>
      <c r="L76" s="51">
        <f>I76+J76+K76</f>
        <v>0</v>
      </c>
      <c r="M76" s="50"/>
      <c r="N76" s="7"/>
      <c r="O76" s="51">
        <f>L76+M76+N76</f>
        <v>0</v>
      </c>
      <c r="P76" s="129"/>
      <c r="Q76" s="127">
        <f t="shared" si="0"/>
        <v>0</v>
      </c>
    </row>
    <row r="77" spans="1:17" ht="12.75" hidden="1">
      <c r="A77" s="70" t="s">
        <v>50</v>
      </c>
      <c r="B77" s="160"/>
      <c r="C77" s="184"/>
      <c r="D77" s="182"/>
      <c r="E77" s="182"/>
      <c r="F77" s="183">
        <f>C77+D77+E77</f>
        <v>0</v>
      </c>
      <c r="G77" s="228"/>
      <c r="H77" s="7"/>
      <c r="I77" s="51">
        <f>F77+G77+H77</f>
        <v>0</v>
      </c>
      <c r="J77" s="50"/>
      <c r="K77" s="7"/>
      <c r="L77" s="51">
        <f>I77+J77+K77</f>
        <v>0</v>
      </c>
      <c r="M77" s="50"/>
      <c r="N77" s="7"/>
      <c r="O77" s="51">
        <f>L77+M77+N77</f>
        <v>0</v>
      </c>
      <c r="P77" s="129"/>
      <c r="Q77" s="127">
        <f t="shared" si="0"/>
        <v>0</v>
      </c>
    </row>
    <row r="78" spans="1:17" ht="12.75" hidden="1">
      <c r="A78" s="70" t="s">
        <v>51</v>
      </c>
      <c r="B78" s="160"/>
      <c r="C78" s="184"/>
      <c r="D78" s="182"/>
      <c r="E78" s="182"/>
      <c r="F78" s="183">
        <f>C78+D78+E78</f>
        <v>0</v>
      </c>
      <c r="G78" s="228"/>
      <c r="H78" s="7"/>
      <c r="I78" s="51">
        <f>F78+G78+H78</f>
        <v>0</v>
      </c>
      <c r="J78" s="50"/>
      <c r="K78" s="7"/>
      <c r="L78" s="51">
        <f>I78+J78+K78</f>
        <v>0</v>
      </c>
      <c r="M78" s="50"/>
      <c r="N78" s="7"/>
      <c r="O78" s="51">
        <f>L78+M78+N78</f>
        <v>0</v>
      </c>
      <c r="P78" s="129"/>
      <c r="Q78" s="127">
        <f t="shared" si="0"/>
        <v>0</v>
      </c>
    </row>
    <row r="79" spans="1:17" ht="12.75">
      <c r="A79" s="67" t="s">
        <v>52</v>
      </c>
      <c r="B79" s="157"/>
      <c r="C79" s="179">
        <f>SUM(C81:C93)</f>
        <v>0</v>
      </c>
      <c r="D79" s="180">
        <f>SUM(D81:D93)</f>
        <v>145142.7</v>
      </c>
      <c r="E79" s="180">
        <f>SUM(E81:E93)</f>
        <v>0</v>
      </c>
      <c r="F79" s="181">
        <f>SUM(F81:F93)</f>
        <v>145142.7</v>
      </c>
      <c r="G79" s="227"/>
      <c r="H79" s="6"/>
      <c r="I79" s="49">
        <f>SUM(I81:I93)</f>
        <v>145142.7</v>
      </c>
      <c r="J79" s="48"/>
      <c r="K79" s="6"/>
      <c r="L79" s="49">
        <f>SUM(L81:L93)</f>
        <v>145142.7</v>
      </c>
      <c r="M79" s="48"/>
      <c r="N79" s="6"/>
      <c r="O79" s="49">
        <f>SUM(O81:O93)</f>
        <v>145142.7</v>
      </c>
      <c r="P79" s="130"/>
      <c r="Q79" s="107">
        <f>SUM(Q81:Q93)</f>
        <v>145142.7</v>
      </c>
    </row>
    <row r="80" spans="1:17" ht="12.75">
      <c r="A80" s="72" t="s">
        <v>33</v>
      </c>
      <c r="B80" s="162"/>
      <c r="C80" s="184"/>
      <c r="D80" s="182"/>
      <c r="E80" s="182"/>
      <c r="F80" s="183"/>
      <c r="G80" s="228"/>
      <c r="H80" s="7"/>
      <c r="I80" s="51"/>
      <c r="J80" s="50"/>
      <c r="K80" s="7"/>
      <c r="L80" s="51"/>
      <c r="M80" s="50"/>
      <c r="N80" s="7"/>
      <c r="O80" s="51"/>
      <c r="P80" s="129"/>
      <c r="Q80" s="127"/>
    </row>
    <row r="81" spans="1:17" ht="12.75" hidden="1">
      <c r="A81" s="70" t="s">
        <v>36</v>
      </c>
      <c r="B81" s="160"/>
      <c r="C81" s="184"/>
      <c r="D81" s="182"/>
      <c r="E81" s="182"/>
      <c r="F81" s="183">
        <f aca="true" t="shared" si="13" ref="F81:F93">C81+D81+E81</f>
        <v>0</v>
      </c>
      <c r="G81" s="228"/>
      <c r="H81" s="7"/>
      <c r="I81" s="51">
        <f>F81+G81+H81</f>
        <v>0</v>
      </c>
      <c r="J81" s="50"/>
      <c r="K81" s="7"/>
      <c r="L81" s="51">
        <f>I81+J81+K81</f>
        <v>0</v>
      </c>
      <c r="M81" s="50"/>
      <c r="N81" s="7"/>
      <c r="O81" s="51">
        <f>L81+M81+N81</f>
        <v>0</v>
      </c>
      <c r="P81" s="129"/>
      <c r="Q81" s="127">
        <f t="shared" si="0"/>
        <v>0</v>
      </c>
    </row>
    <row r="82" spans="1:17" ht="12.75" hidden="1">
      <c r="A82" s="74" t="s">
        <v>37</v>
      </c>
      <c r="B82" s="163"/>
      <c r="C82" s="184"/>
      <c r="D82" s="182"/>
      <c r="E82" s="182"/>
      <c r="F82" s="183">
        <f t="shared" si="13"/>
        <v>0</v>
      </c>
      <c r="G82" s="228"/>
      <c r="H82" s="7"/>
      <c r="I82" s="51">
        <f aca="true" t="shared" si="14" ref="I82:I93">F82+G82+H82</f>
        <v>0</v>
      </c>
      <c r="J82" s="50"/>
      <c r="K82" s="7"/>
      <c r="L82" s="51">
        <f aca="true" t="shared" si="15" ref="L82:L93">I82+J82+K82</f>
        <v>0</v>
      </c>
      <c r="M82" s="50"/>
      <c r="N82" s="7"/>
      <c r="O82" s="51">
        <f aca="true" t="shared" si="16" ref="O82:O93">L82+M82+N82</f>
        <v>0</v>
      </c>
      <c r="P82" s="129"/>
      <c r="Q82" s="127">
        <f t="shared" si="0"/>
        <v>0</v>
      </c>
    </row>
    <row r="83" spans="1:17" ht="12.75" hidden="1">
      <c r="A83" s="74" t="s">
        <v>35</v>
      </c>
      <c r="B83" s="163"/>
      <c r="C83" s="184"/>
      <c r="D83" s="182"/>
      <c r="E83" s="182"/>
      <c r="F83" s="183">
        <f t="shared" si="13"/>
        <v>0</v>
      </c>
      <c r="G83" s="228"/>
      <c r="H83" s="7"/>
      <c r="I83" s="51">
        <f t="shared" si="14"/>
        <v>0</v>
      </c>
      <c r="J83" s="50"/>
      <c r="K83" s="7"/>
      <c r="L83" s="51">
        <f t="shared" si="15"/>
        <v>0</v>
      </c>
      <c r="M83" s="50"/>
      <c r="N83" s="7"/>
      <c r="O83" s="51">
        <f t="shared" si="16"/>
        <v>0</v>
      </c>
      <c r="P83" s="129"/>
      <c r="Q83" s="127">
        <f t="shared" si="0"/>
        <v>0</v>
      </c>
    </row>
    <row r="84" spans="1:17" ht="12.75" hidden="1">
      <c r="A84" s="74" t="s">
        <v>53</v>
      </c>
      <c r="B84" s="163"/>
      <c r="C84" s="184"/>
      <c r="D84" s="182"/>
      <c r="E84" s="182"/>
      <c r="F84" s="183">
        <f t="shared" si="13"/>
        <v>0</v>
      </c>
      <c r="G84" s="228"/>
      <c r="H84" s="7"/>
      <c r="I84" s="51">
        <f t="shared" si="14"/>
        <v>0</v>
      </c>
      <c r="J84" s="50"/>
      <c r="K84" s="7"/>
      <c r="L84" s="51">
        <f t="shared" si="15"/>
        <v>0</v>
      </c>
      <c r="M84" s="50"/>
      <c r="N84" s="7"/>
      <c r="O84" s="51">
        <f t="shared" si="16"/>
        <v>0</v>
      </c>
      <c r="P84" s="129"/>
      <c r="Q84" s="127">
        <f t="shared" si="0"/>
        <v>0</v>
      </c>
    </row>
    <row r="85" spans="1:17" ht="12.75">
      <c r="A85" s="70" t="s">
        <v>38</v>
      </c>
      <c r="B85" s="160"/>
      <c r="C85" s="184"/>
      <c r="D85" s="182">
        <f>6918.64+11340.81+7316.8+5994.23+6188.99</f>
        <v>37759.47</v>
      </c>
      <c r="E85" s="182"/>
      <c r="F85" s="183">
        <f t="shared" si="13"/>
        <v>37759.47</v>
      </c>
      <c r="G85" s="228"/>
      <c r="H85" s="7"/>
      <c r="I85" s="51">
        <f t="shared" si="14"/>
        <v>37759.47</v>
      </c>
      <c r="J85" s="50"/>
      <c r="K85" s="7"/>
      <c r="L85" s="51">
        <f t="shared" si="15"/>
        <v>37759.47</v>
      </c>
      <c r="M85" s="50"/>
      <c r="N85" s="7"/>
      <c r="O85" s="51">
        <f t="shared" si="16"/>
        <v>37759.47</v>
      </c>
      <c r="P85" s="129"/>
      <c r="Q85" s="127">
        <f aca="true" t="shared" si="17" ref="Q85:Q149">O85+P85</f>
        <v>37759.47</v>
      </c>
    </row>
    <row r="86" spans="1:17" ht="12.75" hidden="1">
      <c r="A86" s="70" t="s">
        <v>291</v>
      </c>
      <c r="B86" s="160"/>
      <c r="C86" s="184"/>
      <c r="D86" s="182"/>
      <c r="E86" s="182"/>
      <c r="F86" s="183">
        <f t="shared" si="13"/>
        <v>0</v>
      </c>
      <c r="G86" s="228"/>
      <c r="H86" s="7"/>
      <c r="I86" s="51"/>
      <c r="J86" s="50"/>
      <c r="K86" s="7"/>
      <c r="L86" s="51"/>
      <c r="M86" s="50"/>
      <c r="N86" s="7"/>
      <c r="O86" s="51"/>
      <c r="P86" s="129"/>
      <c r="Q86" s="127"/>
    </row>
    <row r="87" spans="1:17" ht="12.75">
      <c r="A87" s="70" t="s">
        <v>192</v>
      </c>
      <c r="B87" s="160"/>
      <c r="C87" s="184"/>
      <c r="D87" s="182">
        <f>53677.67</f>
        <v>53677.67</v>
      </c>
      <c r="E87" s="182"/>
      <c r="F87" s="183">
        <f t="shared" si="13"/>
        <v>53677.67</v>
      </c>
      <c r="G87" s="228"/>
      <c r="H87" s="7"/>
      <c r="I87" s="51">
        <f t="shared" si="14"/>
        <v>53677.67</v>
      </c>
      <c r="J87" s="50"/>
      <c r="K87" s="7"/>
      <c r="L87" s="51">
        <f t="shared" si="15"/>
        <v>53677.67</v>
      </c>
      <c r="M87" s="50"/>
      <c r="N87" s="7"/>
      <c r="O87" s="51">
        <f t="shared" si="16"/>
        <v>53677.67</v>
      </c>
      <c r="P87" s="129"/>
      <c r="Q87" s="127">
        <f t="shared" si="17"/>
        <v>53677.67</v>
      </c>
    </row>
    <row r="88" spans="1:17" ht="12.75" hidden="1">
      <c r="A88" s="70" t="s">
        <v>193</v>
      </c>
      <c r="B88" s="160"/>
      <c r="C88" s="184"/>
      <c r="D88" s="182"/>
      <c r="E88" s="182"/>
      <c r="F88" s="183">
        <f t="shared" si="13"/>
        <v>0</v>
      </c>
      <c r="G88" s="228"/>
      <c r="H88" s="7"/>
      <c r="I88" s="51">
        <f t="shared" si="14"/>
        <v>0</v>
      </c>
      <c r="J88" s="50"/>
      <c r="K88" s="7"/>
      <c r="L88" s="51">
        <f t="shared" si="15"/>
        <v>0</v>
      </c>
      <c r="M88" s="50"/>
      <c r="N88" s="7"/>
      <c r="O88" s="51">
        <f t="shared" si="16"/>
        <v>0</v>
      </c>
      <c r="P88" s="129"/>
      <c r="Q88" s="127">
        <f t="shared" si="17"/>
        <v>0</v>
      </c>
    </row>
    <row r="89" spans="1:17" ht="12.75">
      <c r="A89" s="70" t="s">
        <v>54</v>
      </c>
      <c r="B89" s="160"/>
      <c r="C89" s="184"/>
      <c r="D89" s="182">
        <f>52007</f>
        <v>52007</v>
      </c>
      <c r="E89" s="182"/>
      <c r="F89" s="183">
        <f t="shared" si="13"/>
        <v>52007</v>
      </c>
      <c r="G89" s="228"/>
      <c r="H89" s="7"/>
      <c r="I89" s="51">
        <f t="shared" si="14"/>
        <v>52007</v>
      </c>
      <c r="J89" s="50"/>
      <c r="K89" s="7"/>
      <c r="L89" s="51">
        <f t="shared" si="15"/>
        <v>52007</v>
      </c>
      <c r="M89" s="50"/>
      <c r="N89" s="7"/>
      <c r="O89" s="51">
        <f t="shared" si="16"/>
        <v>52007</v>
      </c>
      <c r="P89" s="129"/>
      <c r="Q89" s="127">
        <f t="shared" si="17"/>
        <v>52007</v>
      </c>
    </row>
    <row r="90" spans="1:17" ht="12.75" hidden="1">
      <c r="A90" s="70" t="s">
        <v>55</v>
      </c>
      <c r="B90" s="160"/>
      <c r="C90" s="184"/>
      <c r="D90" s="182"/>
      <c r="E90" s="182"/>
      <c r="F90" s="183">
        <f t="shared" si="13"/>
        <v>0</v>
      </c>
      <c r="G90" s="228"/>
      <c r="H90" s="7"/>
      <c r="I90" s="51">
        <f t="shared" si="14"/>
        <v>0</v>
      </c>
      <c r="J90" s="50"/>
      <c r="K90" s="7"/>
      <c r="L90" s="51">
        <f t="shared" si="15"/>
        <v>0</v>
      </c>
      <c r="M90" s="50"/>
      <c r="N90" s="7"/>
      <c r="O90" s="51">
        <f t="shared" si="16"/>
        <v>0</v>
      </c>
      <c r="P90" s="129"/>
      <c r="Q90" s="127">
        <f t="shared" si="17"/>
        <v>0</v>
      </c>
    </row>
    <row r="91" spans="1:17" ht="12.75">
      <c r="A91" s="70" t="s">
        <v>56</v>
      </c>
      <c r="B91" s="160"/>
      <c r="C91" s="184"/>
      <c r="D91" s="182">
        <f>1698.56</f>
        <v>1698.56</v>
      </c>
      <c r="E91" s="182"/>
      <c r="F91" s="183">
        <f t="shared" si="13"/>
        <v>1698.56</v>
      </c>
      <c r="G91" s="228"/>
      <c r="H91" s="7"/>
      <c r="I91" s="51">
        <f t="shared" si="14"/>
        <v>1698.56</v>
      </c>
      <c r="J91" s="50"/>
      <c r="K91" s="7"/>
      <c r="L91" s="51">
        <f t="shared" si="15"/>
        <v>1698.56</v>
      </c>
      <c r="M91" s="50"/>
      <c r="N91" s="7"/>
      <c r="O91" s="51">
        <f t="shared" si="16"/>
        <v>1698.56</v>
      </c>
      <c r="P91" s="129"/>
      <c r="Q91" s="127">
        <f t="shared" si="17"/>
        <v>1698.56</v>
      </c>
    </row>
    <row r="92" spans="1:17" ht="12.75" hidden="1">
      <c r="A92" s="70" t="s">
        <v>42</v>
      </c>
      <c r="B92" s="160"/>
      <c r="C92" s="184"/>
      <c r="D92" s="182"/>
      <c r="E92" s="182"/>
      <c r="F92" s="183">
        <f t="shared" si="13"/>
        <v>0</v>
      </c>
      <c r="G92" s="228"/>
      <c r="H92" s="7"/>
      <c r="I92" s="51">
        <f t="shared" si="14"/>
        <v>0</v>
      </c>
      <c r="J92" s="50"/>
      <c r="K92" s="7"/>
      <c r="L92" s="51">
        <f t="shared" si="15"/>
        <v>0</v>
      </c>
      <c r="M92" s="50"/>
      <c r="N92" s="7"/>
      <c r="O92" s="51">
        <f t="shared" si="16"/>
        <v>0</v>
      </c>
      <c r="P92" s="144"/>
      <c r="Q92" s="127">
        <f t="shared" si="17"/>
        <v>0</v>
      </c>
    </row>
    <row r="93" spans="1:17" ht="12.75" hidden="1">
      <c r="A93" s="70" t="s">
        <v>201</v>
      </c>
      <c r="B93" s="160"/>
      <c r="C93" s="184"/>
      <c r="D93" s="182"/>
      <c r="E93" s="182"/>
      <c r="F93" s="183">
        <f t="shared" si="13"/>
        <v>0</v>
      </c>
      <c r="G93" s="228"/>
      <c r="H93" s="7"/>
      <c r="I93" s="51">
        <f t="shared" si="14"/>
        <v>0</v>
      </c>
      <c r="J93" s="50"/>
      <c r="K93" s="7"/>
      <c r="L93" s="51">
        <f t="shared" si="15"/>
        <v>0</v>
      </c>
      <c r="M93" s="50"/>
      <c r="N93" s="7"/>
      <c r="O93" s="51">
        <f t="shared" si="16"/>
        <v>0</v>
      </c>
      <c r="P93" s="129"/>
      <c r="Q93" s="127">
        <f t="shared" si="17"/>
        <v>0</v>
      </c>
    </row>
    <row r="94" spans="1:17" ht="15" customHeight="1" hidden="1">
      <c r="A94" s="71" t="s">
        <v>57</v>
      </c>
      <c r="B94" s="161"/>
      <c r="C94" s="244">
        <f>SUM(C96:C98)</f>
        <v>0</v>
      </c>
      <c r="D94" s="186">
        <f>SUM(D96:D98)</f>
        <v>0</v>
      </c>
      <c r="E94" s="245">
        <f>SUM(E96:E98)</f>
        <v>0</v>
      </c>
      <c r="F94" s="187">
        <f>SUM(F96:F98)</f>
        <v>0</v>
      </c>
      <c r="G94" s="17"/>
      <c r="H94" s="8"/>
      <c r="I94" s="53">
        <f>SUM(I96:I98)</f>
        <v>0</v>
      </c>
      <c r="J94" s="52"/>
      <c r="K94" s="8"/>
      <c r="L94" s="53">
        <f>SUM(L96:L98)</f>
        <v>0</v>
      </c>
      <c r="M94" s="52"/>
      <c r="N94" s="8"/>
      <c r="O94" s="53">
        <f>SUM(O96:O98)</f>
        <v>0</v>
      </c>
      <c r="P94" s="132"/>
      <c r="Q94" s="63">
        <f>SUM(Q96:Q98)</f>
        <v>0</v>
      </c>
    </row>
    <row r="95" spans="1:17" ht="12.75" hidden="1">
      <c r="A95" s="68" t="s">
        <v>33</v>
      </c>
      <c r="B95" s="158"/>
      <c r="C95" s="184"/>
      <c r="D95" s="182"/>
      <c r="E95" s="182"/>
      <c r="F95" s="183"/>
      <c r="G95" s="228"/>
      <c r="H95" s="7"/>
      <c r="I95" s="51"/>
      <c r="J95" s="50"/>
      <c r="K95" s="7"/>
      <c r="L95" s="51"/>
      <c r="M95" s="50"/>
      <c r="N95" s="7"/>
      <c r="O95" s="51"/>
      <c r="P95" s="129"/>
      <c r="Q95" s="127"/>
    </row>
    <row r="96" spans="1:17" ht="12.75" hidden="1">
      <c r="A96" s="70" t="s">
        <v>58</v>
      </c>
      <c r="B96" s="160"/>
      <c r="C96" s="184"/>
      <c r="D96" s="182"/>
      <c r="E96" s="182"/>
      <c r="F96" s="183">
        <f>C96+D96+E96</f>
        <v>0</v>
      </c>
      <c r="G96" s="228"/>
      <c r="H96" s="7"/>
      <c r="I96" s="51">
        <f>F96+G96+H96</f>
        <v>0</v>
      </c>
      <c r="J96" s="50"/>
      <c r="K96" s="7"/>
      <c r="L96" s="51">
        <f>I96+J96+K96</f>
        <v>0</v>
      </c>
      <c r="M96" s="50"/>
      <c r="N96" s="7"/>
      <c r="O96" s="51">
        <f>L96+M96+N96</f>
        <v>0</v>
      </c>
      <c r="P96" s="129"/>
      <c r="Q96" s="127">
        <f t="shared" si="17"/>
        <v>0</v>
      </c>
    </row>
    <row r="97" spans="1:17" ht="12.75" hidden="1">
      <c r="A97" s="70" t="s">
        <v>30</v>
      </c>
      <c r="B97" s="160"/>
      <c r="C97" s="184"/>
      <c r="D97" s="182"/>
      <c r="E97" s="182"/>
      <c r="F97" s="183">
        <f>C97+D97+E97</f>
        <v>0</v>
      </c>
      <c r="G97" s="228"/>
      <c r="H97" s="7"/>
      <c r="I97" s="51">
        <f>F97+G97+H97</f>
        <v>0</v>
      </c>
      <c r="J97" s="50"/>
      <c r="K97" s="7"/>
      <c r="L97" s="51">
        <f>I97+J97+K97</f>
        <v>0</v>
      </c>
      <c r="M97" s="50"/>
      <c r="N97" s="7"/>
      <c r="O97" s="51">
        <f>L97+M97+N97</f>
        <v>0</v>
      </c>
      <c r="P97" s="129"/>
      <c r="Q97" s="127">
        <f t="shared" si="17"/>
        <v>0</v>
      </c>
    </row>
    <row r="98" spans="1:17" ht="12.75" hidden="1">
      <c r="A98" s="70" t="s">
        <v>50</v>
      </c>
      <c r="B98" s="160"/>
      <c r="C98" s="184"/>
      <c r="D98" s="182"/>
      <c r="E98" s="182"/>
      <c r="F98" s="183">
        <f>C98+D98+E98</f>
        <v>0</v>
      </c>
      <c r="G98" s="228"/>
      <c r="H98" s="7"/>
      <c r="I98" s="51">
        <f>F98+G98+H98</f>
        <v>0</v>
      </c>
      <c r="J98" s="50"/>
      <c r="K98" s="7"/>
      <c r="L98" s="51">
        <f>I98+J98+K98</f>
        <v>0</v>
      </c>
      <c r="M98" s="50"/>
      <c r="N98" s="7"/>
      <c r="O98" s="51">
        <f>L98+M98+N98</f>
        <v>0</v>
      </c>
      <c r="P98" s="129"/>
      <c r="Q98" s="127">
        <f t="shared" si="17"/>
        <v>0</v>
      </c>
    </row>
    <row r="99" spans="1:17" ht="16.5" thickBot="1">
      <c r="A99" s="75" t="s">
        <v>59</v>
      </c>
      <c r="B99" s="164"/>
      <c r="C99" s="188">
        <f>C11+C16+C52+C79+C45+C94</f>
        <v>3896837</v>
      </c>
      <c r="D99" s="189">
        <f>D11+D16+D52+D79+D45</f>
        <v>5943562.2</v>
      </c>
      <c r="E99" s="189">
        <f>E11+E16+E52+E79+E45</f>
        <v>0</v>
      </c>
      <c r="F99" s="190">
        <f>F11+F16+F52+F79+F45</f>
        <v>9840399.2</v>
      </c>
      <c r="G99" s="230"/>
      <c r="H99" s="11"/>
      <c r="I99" s="57">
        <f>I11+I16+I52+I79+I45+I94</f>
        <v>9835710.22</v>
      </c>
      <c r="J99" s="56"/>
      <c r="K99" s="11"/>
      <c r="L99" s="57">
        <f>L11+L16+L52+L79+L45+L94</f>
        <v>9835710.22</v>
      </c>
      <c r="M99" s="56"/>
      <c r="N99" s="11"/>
      <c r="O99" s="57">
        <f>O11+O16+O52+O79+O45+O94</f>
        <v>9835710.22</v>
      </c>
      <c r="P99" s="133"/>
      <c r="Q99" s="57">
        <f>Q11+Q16+Q52+Q79+Q45+Q94</f>
        <v>9835710.22</v>
      </c>
    </row>
    <row r="100" spans="1:17" ht="12.75">
      <c r="A100" s="67" t="s">
        <v>60</v>
      </c>
      <c r="B100" s="157"/>
      <c r="C100" s="179"/>
      <c r="D100" s="182"/>
      <c r="E100" s="182"/>
      <c r="F100" s="183"/>
      <c r="G100" s="228"/>
      <c r="H100" s="7"/>
      <c r="I100" s="51"/>
      <c r="J100" s="50"/>
      <c r="K100" s="7"/>
      <c r="L100" s="51"/>
      <c r="M100" s="50"/>
      <c r="N100" s="7"/>
      <c r="O100" s="51"/>
      <c r="P100" s="129"/>
      <c r="Q100" s="127"/>
    </row>
    <row r="101" spans="1:17" ht="12.75">
      <c r="A101" s="67" t="s">
        <v>61</v>
      </c>
      <c r="B101" s="167"/>
      <c r="C101" s="179">
        <f>C102+C114</f>
        <v>46742</v>
      </c>
      <c r="D101" s="180">
        <f>D102+D114</f>
        <v>4236.76</v>
      </c>
      <c r="E101" s="180">
        <f>E102+E114</f>
        <v>0</v>
      </c>
      <c r="F101" s="181">
        <f>F102+F114</f>
        <v>50978.76</v>
      </c>
      <c r="G101" s="227"/>
      <c r="H101" s="6"/>
      <c r="I101" s="49">
        <f>I102+I114</f>
        <v>50978.76</v>
      </c>
      <c r="J101" s="48"/>
      <c r="K101" s="6"/>
      <c r="L101" s="49">
        <f>L102+L114</f>
        <v>50978.76</v>
      </c>
      <c r="M101" s="48"/>
      <c r="N101" s="6"/>
      <c r="O101" s="49">
        <f>O102+O114</f>
        <v>50978.76</v>
      </c>
      <c r="P101" s="130"/>
      <c r="Q101" s="107">
        <f>Q102+Q114</f>
        <v>50978.76</v>
      </c>
    </row>
    <row r="102" spans="1:17" ht="12.75">
      <c r="A102" s="76" t="s">
        <v>62</v>
      </c>
      <c r="B102" s="167"/>
      <c r="C102" s="191">
        <f aca="true" t="shared" si="18" ref="C102:O102">SUM(C104:C113)</f>
        <v>46742</v>
      </c>
      <c r="D102" s="192">
        <f t="shared" si="18"/>
        <v>4236.76</v>
      </c>
      <c r="E102" s="192">
        <f>SUM(E104:E113)</f>
        <v>0</v>
      </c>
      <c r="F102" s="193">
        <f t="shared" si="18"/>
        <v>50978.76</v>
      </c>
      <c r="G102" s="231"/>
      <c r="H102" s="12"/>
      <c r="I102" s="59">
        <f t="shared" si="18"/>
        <v>50978.76</v>
      </c>
      <c r="J102" s="58"/>
      <c r="K102" s="12"/>
      <c r="L102" s="59">
        <f t="shared" si="18"/>
        <v>50978.76</v>
      </c>
      <c r="M102" s="58"/>
      <c r="N102" s="12"/>
      <c r="O102" s="59">
        <f t="shared" si="18"/>
        <v>50978.76</v>
      </c>
      <c r="P102" s="134"/>
      <c r="Q102" s="108">
        <f>SUM(Q104:Q113)</f>
        <v>50978.76</v>
      </c>
    </row>
    <row r="103" spans="1:17" ht="10.5" customHeight="1">
      <c r="A103" s="72" t="s">
        <v>33</v>
      </c>
      <c r="B103" s="114"/>
      <c r="C103" s="184"/>
      <c r="D103" s="182"/>
      <c r="E103" s="182"/>
      <c r="F103" s="183"/>
      <c r="G103" s="228"/>
      <c r="H103" s="7"/>
      <c r="I103" s="51"/>
      <c r="J103" s="50"/>
      <c r="K103" s="7"/>
      <c r="L103" s="51"/>
      <c r="M103" s="50"/>
      <c r="N103" s="7"/>
      <c r="O103" s="51"/>
      <c r="P103" s="129"/>
      <c r="Q103" s="127"/>
    </row>
    <row r="104" spans="1:17" ht="12.75">
      <c r="A104" s="70" t="s">
        <v>162</v>
      </c>
      <c r="B104" s="165"/>
      <c r="C104" s="184">
        <v>17854.5</v>
      </c>
      <c r="D104" s="182">
        <f>3365.95</f>
        <v>3365.95</v>
      </c>
      <c r="E104" s="182"/>
      <c r="F104" s="183">
        <f aca="true" t="shared" si="19" ref="F104:F113">C104+D104+E104</f>
        <v>21220.45</v>
      </c>
      <c r="G104" s="228"/>
      <c r="H104" s="7"/>
      <c r="I104" s="51">
        <f aca="true" t="shared" si="20" ref="I104:I113">F104+G104+H104</f>
        <v>21220.45</v>
      </c>
      <c r="J104" s="50"/>
      <c r="K104" s="7"/>
      <c r="L104" s="51">
        <f aca="true" t="shared" si="21" ref="L104:L113">I104+J104+K104</f>
        <v>21220.45</v>
      </c>
      <c r="M104" s="50"/>
      <c r="N104" s="7"/>
      <c r="O104" s="51">
        <f aca="true" t="shared" si="22" ref="O104:O113">L104+M104+N104</f>
        <v>21220.45</v>
      </c>
      <c r="P104" s="129"/>
      <c r="Q104" s="127">
        <f t="shared" si="17"/>
        <v>21220.45</v>
      </c>
    </row>
    <row r="105" spans="1:17" ht="12.75">
      <c r="A105" s="70" t="s">
        <v>63</v>
      </c>
      <c r="B105" s="165"/>
      <c r="C105" s="184">
        <v>4209</v>
      </c>
      <c r="D105" s="182">
        <f>239.77</f>
        <v>239.77</v>
      </c>
      <c r="E105" s="182"/>
      <c r="F105" s="183">
        <f t="shared" si="19"/>
        <v>4448.77</v>
      </c>
      <c r="G105" s="228"/>
      <c r="H105" s="7"/>
      <c r="I105" s="51">
        <f t="shared" si="20"/>
        <v>4448.77</v>
      </c>
      <c r="J105" s="50"/>
      <c r="K105" s="7"/>
      <c r="L105" s="51">
        <f t="shared" si="21"/>
        <v>4448.77</v>
      </c>
      <c r="M105" s="50"/>
      <c r="N105" s="7"/>
      <c r="O105" s="51">
        <f t="shared" si="22"/>
        <v>4448.77</v>
      </c>
      <c r="P105" s="129"/>
      <c r="Q105" s="127">
        <f t="shared" si="17"/>
        <v>4448.77</v>
      </c>
    </row>
    <row r="106" spans="1:17" ht="12.75">
      <c r="A106" s="70" t="s">
        <v>321</v>
      </c>
      <c r="B106" s="165"/>
      <c r="C106" s="184">
        <v>1100</v>
      </c>
      <c r="D106" s="182"/>
      <c r="E106" s="182"/>
      <c r="F106" s="183">
        <f t="shared" si="19"/>
        <v>1100</v>
      </c>
      <c r="G106" s="228"/>
      <c r="H106" s="7"/>
      <c r="I106" s="51">
        <f t="shared" si="20"/>
        <v>1100</v>
      </c>
      <c r="J106" s="50"/>
      <c r="K106" s="7"/>
      <c r="L106" s="51">
        <f t="shared" si="21"/>
        <v>1100</v>
      </c>
      <c r="M106" s="50"/>
      <c r="N106" s="7"/>
      <c r="O106" s="51">
        <f t="shared" si="22"/>
        <v>1100</v>
      </c>
      <c r="P106" s="129"/>
      <c r="Q106" s="127">
        <f t="shared" si="17"/>
        <v>1100</v>
      </c>
    </row>
    <row r="107" spans="1:17" ht="12.75" hidden="1">
      <c r="A107" s="70" t="s">
        <v>196</v>
      </c>
      <c r="B107" s="165"/>
      <c r="C107" s="184"/>
      <c r="D107" s="182"/>
      <c r="E107" s="182"/>
      <c r="F107" s="183">
        <f t="shared" si="19"/>
        <v>0</v>
      </c>
      <c r="G107" s="228"/>
      <c r="H107" s="7"/>
      <c r="I107" s="51">
        <f t="shared" si="20"/>
        <v>0</v>
      </c>
      <c r="J107" s="50"/>
      <c r="K107" s="7"/>
      <c r="L107" s="51">
        <f t="shared" si="21"/>
        <v>0</v>
      </c>
      <c r="M107" s="50"/>
      <c r="N107" s="7"/>
      <c r="O107" s="51">
        <f t="shared" si="22"/>
        <v>0</v>
      </c>
      <c r="P107" s="129"/>
      <c r="Q107" s="127">
        <f t="shared" si="17"/>
        <v>0</v>
      </c>
    </row>
    <row r="108" spans="1:17" ht="12.75" hidden="1">
      <c r="A108" s="70" t="s">
        <v>197</v>
      </c>
      <c r="B108" s="165"/>
      <c r="C108" s="184"/>
      <c r="D108" s="182"/>
      <c r="E108" s="182"/>
      <c r="F108" s="183">
        <f t="shared" si="19"/>
        <v>0</v>
      </c>
      <c r="G108" s="228"/>
      <c r="H108" s="7"/>
      <c r="I108" s="51">
        <f t="shared" si="20"/>
        <v>0</v>
      </c>
      <c r="J108" s="50"/>
      <c r="K108" s="7"/>
      <c r="L108" s="51">
        <f t="shared" si="21"/>
        <v>0</v>
      </c>
      <c r="M108" s="50"/>
      <c r="N108" s="7"/>
      <c r="O108" s="51">
        <f t="shared" si="22"/>
        <v>0</v>
      </c>
      <c r="P108" s="129"/>
      <c r="Q108" s="127">
        <f t="shared" si="17"/>
        <v>0</v>
      </c>
    </row>
    <row r="109" spans="1:17" ht="12.75">
      <c r="A109" s="70" t="s">
        <v>64</v>
      </c>
      <c r="B109" s="165"/>
      <c r="C109" s="184">
        <v>17204.5</v>
      </c>
      <c r="D109" s="182">
        <f>537+94.04</f>
        <v>631.04</v>
      </c>
      <c r="E109" s="182"/>
      <c r="F109" s="183">
        <f t="shared" si="19"/>
        <v>17835.54</v>
      </c>
      <c r="G109" s="228"/>
      <c r="H109" s="7"/>
      <c r="I109" s="51">
        <f t="shared" si="20"/>
        <v>17835.54</v>
      </c>
      <c r="J109" s="50"/>
      <c r="K109" s="7"/>
      <c r="L109" s="51">
        <f t="shared" si="21"/>
        <v>17835.54</v>
      </c>
      <c r="M109" s="50"/>
      <c r="N109" s="7"/>
      <c r="O109" s="51">
        <f t="shared" si="22"/>
        <v>17835.54</v>
      </c>
      <c r="P109" s="129"/>
      <c r="Q109" s="127">
        <f t="shared" si="17"/>
        <v>17835.54</v>
      </c>
    </row>
    <row r="110" spans="1:17" ht="12.75" hidden="1">
      <c r="A110" s="70" t="s">
        <v>257</v>
      </c>
      <c r="B110" s="165">
        <v>95029</v>
      </c>
      <c r="C110" s="184"/>
      <c r="D110" s="182"/>
      <c r="E110" s="182"/>
      <c r="F110" s="183">
        <f t="shared" si="19"/>
        <v>0</v>
      </c>
      <c r="G110" s="228"/>
      <c r="H110" s="7"/>
      <c r="I110" s="51"/>
      <c r="J110" s="50"/>
      <c r="K110" s="7"/>
      <c r="L110" s="51"/>
      <c r="M110" s="50"/>
      <c r="N110" s="7"/>
      <c r="O110" s="51"/>
      <c r="P110" s="129"/>
      <c r="Q110" s="127"/>
    </row>
    <row r="111" spans="1:17" ht="12.75" hidden="1">
      <c r="A111" s="70" t="s">
        <v>95</v>
      </c>
      <c r="B111" s="165"/>
      <c r="C111" s="184"/>
      <c r="D111" s="182"/>
      <c r="E111" s="182"/>
      <c r="F111" s="183">
        <f t="shared" si="19"/>
        <v>0</v>
      </c>
      <c r="G111" s="228"/>
      <c r="H111" s="7"/>
      <c r="I111" s="51"/>
      <c r="J111" s="50"/>
      <c r="K111" s="7"/>
      <c r="L111" s="51"/>
      <c r="M111" s="50"/>
      <c r="N111" s="7"/>
      <c r="O111" s="51"/>
      <c r="P111" s="129"/>
      <c r="Q111" s="127"/>
    </row>
    <row r="112" spans="1:17" ht="12.75">
      <c r="A112" s="70" t="s">
        <v>65</v>
      </c>
      <c r="B112" s="165"/>
      <c r="C112" s="184">
        <v>500</v>
      </c>
      <c r="D112" s="182"/>
      <c r="E112" s="182"/>
      <c r="F112" s="183">
        <f t="shared" si="19"/>
        <v>500</v>
      </c>
      <c r="G112" s="228"/>
      <c r="H112" s="7"/>
      <c r="I112" s="51">
        <f t="shared" si="20"/>
        <v>500</v>
      </c>
      <c r="J112" s="50"/>
      <c r="K112" s="7"/>
      <c r="L112" s="51">
        <f t="shared" si="21"/>
        <v>500</v>
      </c>
      <c r="M112" s="50"/>
      <c r="N112" s="7"/>
      <c r="O112" s="51">
        <f t="shared" si="22"/>
        <v>500</v>
      </c>
      <c r="P112" s="129"/>
      <c r="Q112" s="127">
        <f t="shared" si="17"/>
        <v>500</v>
      </c>
    </row>
    <row r="113" spans="1:17" ht="12.75">
      <c r="A113" s="73" t="s">
        <v>66</v>
      </c>
      <c r="B113" s="168"/>
      <c r="C113" s="194">
        <v>5874</v>
      </c>
      <c r="D113" s="195"/>
      <c r="E113" s="195"/>
      <c r="F113" s="246">
        <f t="shared" si="19"/>
        <v>5874</v>
      </c>
      <c r="G113" s="228"/>
      <c r="H113" s="7"/>
      <c r="I113" s="51">
        <f t="shared" si="20"/>
        <v>5874</v>
      </c>
      <c r="J113" s="50"/>
      <c r="K113" s="7"/>
      <c r="L113" s="51">
        <f t="shared" si="21"/>
        <v>5874</v>
      </c>
      <c r="M113" s="50"/>
      <c r="N113" s="7"/>
      <c r="O113" s="51">
        <f t="shared" si="22"/>
        <v>5874</v>
      </c>
      <c r="P113" s="129"/>
      <c r="Q113" s="127">
        <f t="shared" si="17"/>
        <v>5874</v>
      </c>
    </row>
    <row r="114" spans="1:17" ht="12.75" hidden="1">
      <c r="A114" s="77" t="s">
        <v>67</v>
      </c>
      <c r="B114" s="169"/>
      <c r="C114" s="196">
        <f>SUM(C116:C119)</f>
        <v>0</v>
      </c>
      <c r="D114" s="197">
        <f>SUM(D116:D119)</f>
        <v>0</v>
      </c>
      <c r="E114" s="197">
        <f>SUM(E116:E119)</f>
        <v>0</v>
      </c>
      <c r="F114" s="198">
        <f>SUM(F116:F119)</f>
        <v>0</v>
      </c>
      <c r="G114" s="117"/>
      <c r="H114" s="13"/>
      <c r="I114" s="61">
        <f>SUM(I116:I119)</f>
        <v>0</v>
      </c>
      <c r="J114" s="60"/>
      <c r="K114" s="13"/>
      <c r="L114" s="61">
        <f>SUM(L116:L119)</f>
        <v>0</v>
      </c>
      <c r="M114" s="60"/>
      <c r="N114" s="13"/>
      <c r="O114" s="61">
        <f>SUM(O116:O119)</f>
        <v>0</v>
      </c>
      <c r="P114" s="135"/>
      <c r="Q114" s="120">
        <f>SUM(Q116:Q119)</f>
        <v>0</v>
      </c>
    </row>
    <row r="115" spans="1:17" ht="11.25" customHeight="1" hidden="1">
      <c r="A115" s="68" t="s">
        <v>33</v>
      </c>
      <c r="B115" s="165"/>
      <c r="C115" s="185"/>
      <c r="D115" s="186"/>
      <c r="E115" s="186"/>
      <c r="F115" s="187"/>
      <c r="G115" s="17"/>
      <c r="H115" s="8"/>
      <c r="I115" s="53"/>
      <c r="J115" s="52"/>
      <c r="K115" s="8"/>
      <c r="L115" s="53"/>
      <c r="M115" s="52"/>
      <c r="N115" s="8"/>
      <c r="O115" s="53"/>
      <c r="P115" s="129"/>
      <c r="Q115" s="127"/>
    </row>
    <row r="116" spans="1:17" ht="12.75" hidden="1">
      <c r="A116" s="70" t="s">
        <v>198</v>
      </c>
      <c r="B116" s="165"/>
      <c r="C116" s="184"/>
      <c r="D116" s="182"/>
      <c r="E116" s="182"/>
      <c r="F116" s="183">
        <f>C116+D116+E116</f>
        <v>0</v>
      </c>
      <c r="G116" s="228"/>
      <c r="H116" s="7"/>
      <c r="I116" s="51">
        <f>F116+G116+H116</f>
        <v>0</v>
      </c>
      <c r="J116" s="50"/>
      <c r="K116" s="7"/>
      <c r="L116" s="51">
        <f>I116+J116+K116</f>
        <v>0</v>
      </c>
      <c r="M116" s="50"/>
      <c r="N116" s="7"/>
      <c r="O116" s="51">
        <f>L116+M116+N116</f>
        <v>0</v>
      </c>
      <c r="P116" s="129"/>
      <c r="Q116" s="127">
        <f t="shared" si="17"/>
        <v>0</v>
      </c>
    </row>
    <row r="117" spans="1:17" ht="12.75" hidden="1">
      <c r="A117" s="70" t="s">
        <v>257</v>
      </c>
      <c r="B117" s="165"/>
      <c r="C117" s="184"/>
      <c r="D117" s="182"/>
      <c r="E117" s="182"/>
      <c r="F117" s="183">
        <f>C117+D117+E117</f>
        <v>0</v>
      </c>
      <c r="G117" s="228"/>
      <c r="H117" s="7"/>
      <c r="I117" s="51"/>
      <c r="J117" s="50"/>
      <c r="K117" s="7"/>
      <c r="L117" s="51"/>
      <c r="M117" s="50"/>
      <c r="N117" s="7"/>
      <c r="O117" s="51"/>
      <c r="P117" s="129"/>
      <c r="Q117" s="127"/>
    </row>
    <row r="118" spans="1:17" ht="12.75" hidden="1">
      <c r="A118" s="70" t="s">
        <v>66</v>
      </c>
      <c r="B118" s="165"/>
      <c r="C118" s="184"/>
      <c r="D118" s="182"/>
      <c r="E118" s="182"/>
      <c r="F118" s="183">
        <f>C118+D118+E118</f>
        <v>0</v>
      </c>
      <c r="G118" s="16"/>
      <c r="H118" s="10"/>
      <c r="I118" s="55">
        <f>F118+G118+H118</f>
        <v>0</v>
      </c>
      <c r="J118" s="54"/>
      <c r="K118" s="10"/>
      <c r="L118" s="55">
        <f>I118+J118+K118</f>
        <v>0</v>
      </c>
      <c r="M118" s="54"/>
      <c r="N118" s="10"/>
      <c r="O118" s="55">
        <f>L118+M118+N118</f>
        <v>0</v>
      </c>
      <c r="P118" s="142"/>
      <c r="Q118" s="143">
        <f t="shared" si="17"/>
        <v>0</v>
      </c>
    </row>
    <row r="119" spans="1:17" ht="12.75" hidden="1">
      <c r="A119" s="73" t="s">
        <v>68</v>
      </c>
      <c r="B119" s="168"/>
      <c r="C119" s="194"/>
      <c r="D119" s="195"/>
      <c r="E119" s="195"/>
      <c r="F119" s="246">
        <f>C119+D119+E119</f>
        <v>0</v>
      </c>
      <c r="G119" s="16"/>
      <c r="H119" s="10"/>
      <c r="I119" s="55">
        <f>F119+G119+H119</f>
        <v>0</v>
      </c>
      <c r="J119" s="54"/>
      <c r="K119" s="10"/>
      <c r="L119" s="55">
        <f>I119+J119+K119</f>
        <v>0</v>
      </c>
      <c r="M119" s="54"/>
      <c r="N119" s="10"/>
      <c r="O119" s="55">
        <f>L119+M119+N119</f>
        <v>0</v>
      </c>
      <c r="P119" s="129"/>
      <c r="Q119" s="127">
        <f t="shared" si="17"/>
        <v>0</v>
      </c>
    </row>
    <row r="120" spans="1:17" ht="12.75">
      <c r="A120" s="67" t="s">
        <v>69</v>
      </c>
      <c r="B120" s="169"/>
      <c r="C120" s="179">
        <f>C121+C139</f>
        <v>335211.19999999995</v>
      </c>
      <c r="D120" s="180">
        <f>D121+D139</f>
        <v>11768.62</v>
      </c>
      <c r="E120" s="180">
        <f>E121+E139</f>
        <v>0</v>
      </c>
      <c r="F120" s="181">
        <f>F121+F139</f>
        <v>346979.82</v>
      </c>
      <c r="G120" s="227"/>
      <c r="H120" s="6"/>
      <c r="I120" s="49">
        <f>I121+I139</f>
        <v>346979.82</v>
      </c>
      <c r="J120" s="48"/>
      <c r="K120" s="6"/>
      <c r="L120" s="49">
        <f>L121+L139</f>
        <v>346979.82</v>
      </c>
      <c r="M120" s="48"/>
      <c r="N120" s="6"/>
      <c r="O120" s="49">
        <f>O121+O139</f>
        <v>346979.82</v>
      </c>
      <c r="P120" s="130"/>
      <c r="Q120" s="107">
        <f>Q121+Q139</f>
        <v>346979.82</v>
      </c>
    </row>
    <row r="121" spans="1:17" ht="12.75">
      <c r="A121" s="76" t="s">
        <v>62</v>
      </c>
      <c r="B121" s="169"/>
      <c r="C121" s="191">
        <f>SUM(C123:C138)</f>
        <v>335211.19999999995</v>
      </c>
      <c r="D121" s="192">
        <f>SUM(D123:D138)</f>
        <v>9713.880000000001</v>
      </c>
      <c r="E121" s="192">
        <f>SUM(E123:E138)</f>
        <v>0</v>
      </c>
      <c r="F121" s="193">
        <f>SUM(F123:F138)</f>
        <v>344925.08</v>
      </c>
      <c r="G121" s="231"/>
      <c r="H121" s="12"/>
      <c r="I121" s="59">
        <f>SUM(I123:I138)</f>
        <v>344925.08</v>
      </c>
      <c r="J121" s="58"/>
      <c r="K121" s="12"/>
      <c r="L121" s="59">
        <f>SUM(L123:L138)</f>
        <v>344925.08</v>
      </c>
      <c r="M121" s="58"/>
      <c r="N121" s="12"/>
      <c r="O121" s="59">
        <f>SUM(O123:O138)</f>
        <v>344925.08</v>
      </c>
      <c r="P121" s="134"/>
      <c r="Q121" s="108">
        <f>SUM(Q123:Q138)</f>
        <v>344925.08</v>
      </c>
    </row>
    <row r="122" spans="1:17" ht="12.75">
      <c r="A122" s="72" t="s">
        <v>33</v>
      </c>
      <c r="B122" s="165"/>
      <c r="C122" s="184"/>
      <c r="D122" s="182"/>
      <c r="E122" s="182"/>
      <c r="F122" s="183"/>
      <c r="G122" s="228"/>
      <c r="H122" s="7"/>
      <c r="I122" s="51"/>
      <c r="J122" s="50"/>
      <c r="K122" s="7"/>
      <c r="L122" s="51"/>
      <c r="M122" s="50"/>
      <c r="N122" s="7"/>
      <c r="O122" s="51"/>
      <c r="P122" s="129"/>
      <c r="Q122" s="127"/>
    </row>
    <row r="123" spans="1:17" ht="12.75">
      <c r="A123" s="79" t="s">
        <v>163</v>
      </c>
      <c r="B123" s="165"/>
      <c r="C123" s="184">
        <v>166947.3</v>
      </c>
      <c r="D123" s="182">
        <f>3795.76</f>
        <v>3795.76</v>
      </c>
      <c r="E123" s="182"/>
      <c r="F123" s="183">
        <f aca="true" t="shared" si="23" ref="F123:F138">C123+D123+E123</f>
        <v>170743.06</v>
      </c>
      <c r="G123" s="228"/>
      <c r="H123" s="7"/>
      <c r="I123" s="51">
        <f>F123+G123+H123</f>
        <v>170743.06</v>
      </c>
      <c r="J123" s="50"/>
      <c r="K123" s="7"/>
      <c r="L123" s="51">
        <f>I123+J123+K123</f>
        <v>170743.06</v>
      </c>
      <c r="M123" s="50"/>
      <c r="N123" s="7"/>
      <c r="O123" s="51">
        <f>L123+M123+N123</f>
        <v>170743.06</v>
      </c>
      <c r="P123" s="129"/>
      <c r="Q123" s="127">
        <f t="shared" si="17"/>
        <v>170743.06</v>
      </c>
    </row>
    <row r="124" spans="1:17" ht="12.75">
      <c r="A124" s="70" t="s">
        <v>63</v>
      </c>
      <c r="B124" s="165"/>
      <c r="C124" s="184">
        <v>56898.9</v>
      </c>
      <c r="D124" s="182">
        <f>1927.38</f>
        <v>1927.38</v>
      </c>
      <c r="E124" s="182"/>
      <c r="F124" s="183">
        <f t="shared" si="23"/>
        <v>58826.28</v>
      </c>
      <c r="G124" s="228"/>
      <c r="H124" s="7"/>
      <c r="I124" s="51">
        <f aca="true" t="shared" si="24" ref="I124:I138">F124+G124+H124</f>
        <v>58826.28</v>
      </c>
      <c r="J124" s="50"/>
      <c r="K124" s="7"/>
      <c r="L124" s="51">
        <f aca="true" t="shared" si="25" ref="L124:L138">I124+J124+K124</f>
        <v>58826.28</v>
      </c>
      <c r="M124" s="50"/>
      <c r="N124" s="7"/>
      <c r="O124" s="51">
        <f aca="true" t="shared" si="26" ref="O124:O138">L124+M124+N124</f>
        <v>58826.28</v>
      </c>
      <c r="P124" s="129"/>
      <c r="Q124" s="127">
        <f t="shared" si="17"/>
        <v>58826.28</v>
      </c>
    </row>
    <row r="125" spans="1:17" ht="12.75">
      <c r="A125" s="70" t="s">
        <v>321</v>
      </c>
      <c r="B125" s="165"/>
      <c r="C125" s="184">
        <v>200</v>
      </c>
      <c r="D125" s="182"/>
      <c r="E125" s="182"/>
      <c r="F125" s="183">
        <f t="shared" si="23"/>
        <v>200</v>
      </c>
      <c r="G125" s="228"/>
      <c r="H125" s="7"/>
      <c r="I125" s="51">
        <f t="shared" si="24"/>
        <v>200</v>
      </c>
      <c r="J125" s="50"/>
      <c r="K125" s="7"/>
      <c r="L125" s="51">
        <f t="shared" si="25"/>
        <v>200</v>
      </c>
      <c r="M125" s="50"/>
      <c r="N125" s="7"/>
      <c r="O125" s="51">
        <f t="shared" si="26"/>
        <v>200</v>
      </c>
      <c r="P125" s="129"/>
      <c r="Q125" s="127">
        <f t="shared" si="17"/>
        <v>200</v>
      </c>
    </row>
    <row r="126" spans="1:17" ht="12.75">
      <c r="A126" s="70" t="s">
        <v>64</v>
      </c>
      <c r="B126" s="165"/>
      <c r="C126" s="184">
        <v>50038.4</v>
      </c>
      <c r="D126" s="182">
        <f>3800+141.22</f>
        <v>3941.22</v>
      </c>
      <c r="E126" s="182"/>
      <c r="F126" s="183">
        <f t="shared" si="23"/>
        <v>53979.62</v>
      </c>
      <c r="G126" s="228"/>
      <c r="H126" s="7"/>
      <c r="I126" s="51">
        <f t="shared" si="24"/>
        <v>53979.62</v>
      </c>
      <c r="J126" s="50"/>
      <c r="K126" s="7"/>
      <c r="L126" s="51">
        <f t="shared" si="25"/>
        <v>53979.62</v>
      </c>
      <c r="M126" s="50"/>
      <c r="N126" s="7"/>
      <c r="O126" s="51">
        <f t="shared" si="26"/>
        <v>53979.62</v>
      </c>
      <c r="P126" s="129"/>
      <c r="Q126" s="127">
        <f t="shared" si="17"/>
        <v>53979.62</v>
      </c>
    </row>
    <row r="127" spans="1:17" ht="12.75">
      <c r="A127" s="70" t="s">
        <v>70</v>
      </c>
      <c r="B127" s="165" t="s">
        <v>230</v>
      </c>
      <c r="C127" s="184">
        <v>352</v>
      </c>
      <c r="D127" s="182"/>
      <c r="E127" s="182"/>
      <c r="F127" s="183">
        <f t="shared" si="23"/>
        <v>352</v>
      </c>
      <c r="G127" s="228"/>
      <c r="H127" s="7"/>
      <c r="I127" s="51">
        <f t="shared" si="24"/>
        <v>352</v>
      </c>
      <c r="J127" s="50"/>
      <c r="K127" s="7"/>
      <c r="L127" s="51">
        <f t="shared" si="25"/>
        <v>352</v>
      </c>
      <c r="M127" s="50"/>
      <c r="N127" s="7"/>
      <c r="O127" s="51">
        <f t="shared" si="26"/>
        <v>352</v>
      </c>
      <c r="P127" s="129"/>
      <c r="Q127" s="127">
        <f t="shared" si="17"/>
        <v>352</v>
      </c>
    </row>
    <row r="128" spans="1:17" ht="12.75" hidden="1">
      <c r="A128" s="70" t="s">
        <v>71</v>
      </c>
      <c r="B128" s="165" t="s">
        <v>229</v>
      </c>
      <c r="C128" s="184"/>
      <c r="D128" s="182"/>
      <c r="E128" s="182"/>
      <c r="F128" s="183">
        <f t="shared" si="23"/>
        <v>0</v>
      </c>
      <c r="G128" s="228"/>
      <c r="H128" s="7"/>
      <c r="I128" s="51">
        <f t="shared" si="24"/>
        <v>0</v>
      </c>
      <c r="J128" s="50"/>
      <c r="K128" s="7"/>
      <c r="L128" s="51">
        <f t="shared" si="25"/>
        <v>0</v>
      </c>
      <c r="M128" s="50"/>
      <c r="N128" s="7"/>
      <c r="O128" s="51">
        <f t="shared" si="26"/>
        <v>0</v>
      </c>
      <c r="P128" s="129"/>
      <c r="Q128" s="127">
        <f t="shared" si="17"/>
        <v>0</v>
      </c>
    </row>
    <row r="129" spans="1:17" ht="12.75">
      <c r="A129" s="70" t="s">
        <v>72</v>
      </c>
      <c r="B129" s="165"/>
      <c r="C129" s="184">
        <v>60774.6</v>
      </c>
      <c r="D129" s="182"/>
      <c r="E129" s="182"/>
      <c r="F129" s="183">
        <f t="shared" si="23"/>
        <v>60774.6</v>
      </c>
      <c r="G129" s="228"/>
      <c r="H129" s="7"/>
      <c r="I129" s="51">
        <f t="shared" si="24"/>
        <v>60774.6</v>
      </c>
      <c r="J129" s="50"/>
      <c r="K129" s="7"/>
      <c r="L129" s="51">
        <f t="shared" si="25"/>
        <v>60774.6</v>
      </c>
      <c r="M129" s="50"/>
      <c r="N129" s="7"/>
      <c r="O129" s="51">
        <f t="shared" si="26"/>
        <v>60774.6</v>
      </c>
      <c r="P129" s="129"/>
      <c r="Q129" s="127">
        <f t="shared" si="17"/>
        <v>60774.6</v>
      </c>
    </row>
    <row r="130" spans="1:17" ht="12.75">
      <c r="A130" s="70" t="s">
        <v>94</v>
      </c>
      <c r="B130" s="165"/>
      <c r="C130" s="184"/>
      <c r="D130" s="182">
        <f>49.52</f>
        <v>49.52</v>
      </c>
      <c r="E130" s="182"/>
      <c r="F130" s="183">
        <f t="shared" si="23"/>
        <v>49.52</v>
      </c>
      <c r="G130" s="228"/>
      <c r="H130" s="7"/>
      <c r="I130" s="51">
        <f t="shared" si="24"/>
        <v>49.52</v>
      </c>
      <c r="J130" s="50"/>
      <c r="K130" s="7"/>
      <c r="L130" s="51">
        <f t="shared" si="25"/>
        <v>49.52</v>
      </c>
      <c r="M130" s="50"/>
      <c r="N130" s="7"/>
      <c r="O130" s="51">
        <f t="shared" si="26"/>
        <v>49.52</v>
      </c>
      <c r="P130" s="129"/>
      <c r="Q130" s="127">
        <f t="shared" si="17"/>
        <v>49.52</v>
      </c>
    </row>
    <row r="131" spans="1:17" ht="12.75" hidden="1">
      <c r="A131" s="70" t="s">
        <v>172</v>
      </c>
      <c r="B131" s="165"/>
      <c r="C131" s="184"/>
      <c r="D131" s="182"/>
      <c r="E131" s="182"/>
      <c r="F131" s="183">
        <f t="shared" si="23"/>
        <v>0</v>
      </c>
      <c r="G131" s="228"/>
      <c r="H131" s="7"/>
      <c r="I131" s="51">
        <f t="shared" si="24"/>
        <v>0</v>
      </c>
      <c r="J131" s="50"/>
      <c r="K131" s="7"/>
      <c r="L131" s="51">
        <f t="shared" si="25"/>
        <v>0</v>
      </c>
      <c r="M131" s="50"/>
      <c r="N131" s="7"/>
      <c r="O131" s="51">
        <f t="shared" si="26"/>
        <v>0</v>
      </c>
      <c r="P131" s="129"/>
      <c r="Q131" s="127">
        <f t="shared" si="17"/>
        <v>0</v>
      </c>
    </row>
    <row r="132" spans="1:17" ht="12.75" hidden="1">
      <c r="A132" s="166" t="s">
        <v>194</v>
      </c>
      <c r="B132" s="165"/>
      <c r="C132" s="184"/>
      <c r="D132" s="182"/>
      <c r="E132" s="182"/>
      <c r="F132" s="183">
        <f t="shared" si="23"/>
        <v>0</v>
      </c>
      <c r="G132" s="228"/>
      <c r="H132" s="7"/>
      <c r="I132" s="51">
        <f t="shared" si="24"/>
        <v>0</v>
      </c>
      <c r="J132" s="50"/>
      <c r="K132" s="7"/>
      <c r="L132" s="51">
        <f t="shared" si="25"/>
        <v>0</v>
      </c>
      <c r="M132" s="50"/>
      <c r="N132" s="7"/>
      <c r="O132" s="51">
        <f t="shared" si="26"/>
        <v>0</v>
      </c>
      <c r="P132" s="129"/>
      <c r="Q132" s="127">
        <f t="shared" si="17"/>
        <v>0</v>
      </c>
    </row>
    <row r="133" spans="1:17" ht="12.75" hidden="1">
      <c r="A133" s="70" t="s">
        <v>233</v>
      </c>
      <c r="B133" s="165">
        <v>1007</v>
      </c>
      <c r="C133" s="184"/>
      <c r="D133" s="182"/>
      <c r="E133" s="182"/>
      <c r="F133" s="183">
        <f t="shared" si="23"/>
        <v>0</v>
      </c>
      <c r="G133" s="228"/>
      <c r="H133" s="7"/>
      <c r="I133" s="51"/>
      <c r="J133" s="50"/>
      <c r="K133" s="7"/>
      <c r="L133" s="51"/>
      <c r="M133" s="50"/>
      <c r="N133" s="7"/>
      <c r="O133" s="51"/>
      <c r="P133" s="129"/>
      <c r="Q133" s="127"/>
    </row>
    <row r="134" spans="1:17" ht="12.75" hidden="1">
      <c r="A134" s="70" t="s">
        <v>266</v>
      </c>
      <c r="B134" s="165">
        <v>13234</v>
      </c>
      <c r="C134" s="184"/>
      <c r="D134" s="182"/>
      <c r="E134" s="182"/>
      <c r="F134" s="183">
        <f t="shared" si="23"/>
        <v>0</v>
      </c>
      <c r="G134" s="228"/>
      <c r="H134" s="7"/>
      <c r="I134" s="51"/>
      <c r="J134" s="50"/>
      <c r="K134" s="7"/>
      <c r="L134" s="51"/>
      <c r="M134" s="50"/>
      <c r="N134" s="7"/>
      <c r="O134" s="51"/>
      <c r="P134" s="129"/>
      <c r="Q134" s="127"/>
    </row>
    <row r="135" spans="1:17" ht="12.75" hidden="1">
      <c r="A135" s="70" t="s">
        <v>73</v>
      </c>
      <c r="B135" s="165"/>
      <c r="C135" s="184"/>
      <c r="D135" s="182"/>
      <c r="E135" s="182"/>
      <c r="F135" s="183">
        <f t="shared" si="23"/>
        <v>0</v>
      </c>
      <c r="G135" s="228"/>
      <c r="H135" s="7"/>
      <c r="I135" s="51">
        <f t="shared" si="24"/>
        <v>0</v>
      </c>
      <c r="J135" s="50"/>
      <c r="K135" s="7"/>
      <c r="L135" s="51">
        <f t="shared" si="25"/>
        <v>0</v>
      </c>
      <c r="M135" s="50"/>
      <c r="N135" s="7"/>
      <c r="O135" s="51">
        <f t="shared" si="26"/>
        <v>0</v>
      </c>
      <c r="P135" s="129"/>
      <c r="Q135" s="127">
        <f t="shared" si="17"/>
        <v>0</v>
      </c>
    </row>
    <row r="136" spans="1:17" ht="12.75" hidden="1">
      <c r="A136" s="70" t="s">
        <v>74</v>
      </c>
      <c r="B136" s="165">
        <v>98074</v>
      </c>
      <c r="C136" s="184"/>
      <c r="D136" s="182"/>
      <c r="E136" s="182"/>
      <c r="F136" s="183">
        <f t="shared" si="23"/>
        <v>0</v>
      </c>
      <c r="G136" s="228"/>
      <c r="H136" s="7"/>
      <c r="I136" s="51">
        <f t="shared" si="24"/>
        <v>0</v>
      </c>
      <c r="J136" s="50"/>
      <c r="K136" s="7"/>
      <c r="L136" s="51">
        <f t="shared" si="25"/>
        <v>0</v>
      </c>
      <c r="M136" s="50"/>
      <c r="N136" s="7"/>
      <c r="O136" s="51">
        <f t="shared" si="26"/>
        <v>0</v>
      </c>
      <c r="P136" s="129"/>
      <c r="Q136" s="127">
        <f t="shared" si="17"/>
        <v>0</v>
      </c>
    </row>
    <row r="137" spans="1:17" ht="12.75" hidden="1">
      <c r="A137" s="70" t="s">
        <v>75</v>
      </c>
      <c r="B137" s="165"/>
      <c r="C137" s="184"/>
      <c r="D137" s="182"/>
      <c r="E137" s="182"/>
      <c r="F137" s="183">
        <f t="shared" si="23"/>
        <v>0</v>
      </c>
      <c r="G137" s="228"/>
      <c r="H137" s="7"/>
      <c r="I137" s="51">
        <f t="shared" si="24"/>
        <v>0</v>
      </c>
      <c r="J137" s="50"/>
      <c r="K137" s="7"/>
      <c r="L137" s="51">
        <f t="shared" si="25"/>
        <v>0</v>
      </c>
      <c r="M137" s="50"/>
      <c r="N137" s="7"/>
      <c r="O137" s="51">
        <f t="shared" si="26"/>
        <v>0</v>
      </c>
      <c r="P137" s="129"/>
      <c r="Q137" s="127">
        <f t="shared" si="17"/>
        <v>0</v>
      </c>
    </row>
    <row r="138" spans="1:17" ht="12.75" hidden="1">
      <c r="A138" s="70" t="s">
        <v>76</v>
      </c>
      <c r="B138" s="165">
        <v>4001</v>
      </c>
      <c r="C138" s="184"/>
      <c r="D138" s="182"/>
      <c r="E138" s="182"/>
      <c r="F138" s="183">
        <f t="shared" si="23"/>
        <v>0</v>
      </c>
      <c r="G138" s="228"/>
      <c r="H138" s="7"/>
      <c r="I138" s="51">
        <f t="shared" si="24"/>
        <v>0</v>
      </c>
      <c r="J138" s="50"/>
      <c r="K138" s="7"/>
      <c r="L138" s="51">
        <f t="shared" si="25"/>
        <v>0</v>
      </c>
      <c r="M138" s="50"/>
      <c r="N138" s="7"/>
      <c r="O138" s="51">
        <f t="shared" si="26"/>
        <v>0</v>
      </c>
      <c r="P138" s="129"/>
      <c r="Q138" s="127">
        <f t="shared" si="17"/>
        <v>0</v>
      </c>
    </row>
    <row r="139" spans="1:17" ht="12.75">
      <c r="A139" s="76" t="s">
        <v>67</v>
      </c>
      <c r="B139" s="169"/>
      <c r="C139" s="191">
        <f>C142+C141</f>
        <v>0</v>
      </c>
      <c r="D139" s="192">
        <f>D142+D141</f>
        <v>2054.74</v>
      </c>
      <c r="E139" s="192">
        <f>E142+E141</f>
        <v>0</v>
      </c>
      <c r="F139" s="193">
        <f>F142+F141</f>
        <v>2054.74</v>
      </c>
      <c r="G139" s="231"/>
      <c r="H139" s="12"/>
      <c r="I139" s="59">
        <f>I142+I141</f>
        <v>2054.74</v>
      </c>
      <c r="J139" s="58"/>
      <c r="K139" s="12"/>
      <c r="L139" s="59">
        <f aca="true" t="shared" si="27" ref="L139:Q139">L142+L141</f>
        <v>2054.74</v>
      </c>
      <c r="M139" s="58"/>
      <c r="N139" s="12"/>
      <c r="O139" s="59">
        <f t="shared" si="27"/>
        <v>2054.74</v>
      </c>
      <c r="P139" s="134"/>
      <c r="Q139" s="108">
        <f t="shared" si="27"/>
        <v>2054.74</v>
      </c>
    </row>
    <row r="140" spans="1:17" ht="12.75">
      <c r="A140" s="72" t="s">
        <v>33</v>
      </c>
      <c r="B140" s="165"/>
      <c r="C140" s="184"/>
      <c r="D140" s="182"/>
      <c r="E140" s="182"/>
      <c r="F140" s="181"/>
      <c r="G140" s="228"/>
      <c r="H140" s="7"/>
      <c r="I140" s="49"/>
      <c r="J140" s="50"/>
      <c r="K140" s="7"/>
      <c r="L140" s="49"/>
      <c r="M140" s="50"/>
      <c r="N140" s="7"/>
      <c r="O140" s="49"/>
      <c r="P140" s="129"/>
      <c r="Q140" s="127"/>
    </row>
    <row r="141" spans="1:17" ht="12.75" hidden="1">
      <c r="A141" s="69" t="s">
        <v>68</v>
      </c>
      <c r="B141" s="165"/>
      <c r="C141" s="184"/>
      <c r="D141" s="182"/>
      <c r="E141" s="195"/>
      <c r="F141" s="183">
        <f>C141+D141+E141</f>
        <v>0</v>
      </c>
      <c r="G141" s="228"/>
      <c r="H141" s="7"/>
      <c r="I141" s="51">
        <f>F141+G141+H141</f>
        <v>0</v>
      </c>
      <c r="J141" s="50"/>
      <c r="K141" s="7"/>
      <c r="L141" s="51">
        <f>I141+J141+K141</f>
        <v>0</v>
      </c>
      <c r="M141" s="50"/>
      <c r="N141" s="7"/>
      <c r="O141" s="51">
        <f>L141+M141+N141</f>
        <v>0</v>
      </c>
      <c r="P141" s="129"/>
      <c r="Q141" s="127">
        <f t="shared" si="17"/>
        <v>0</v>
      </c>
    </row>
    <row r="142" spans="1:17" ht="12.75">
      <c r="A142" s="73" t="s">
        <v>95</v>
      </c>
      <c r="B142" s="168"/>
      <c r="C142" s="194"/>
      <c r="D142" s="195">
        <f>1488.3+566.44</f>
        <v>2054.74</v>
      </c>
      <c r="E142" s="195"/>
      <c r="F142" s="246">
        <f>C142+D142+E142</f>
        <v>2054.74</v>
      </c>
      <c r="G142" s="16"/>
      <c r="H142" s="10"/>
      <c r="I142" s="55">
        <f>F142+G142+H142</f>
        <v>2054.74</v>
      </c>
      <c r="J142" s="54"/>
      <c r="K142" s="10"/>
      <c r="L142" s="55">
        <f>I142+J142+K142</f>
        <v>2054.74</v>
      </c>
      <c r="M142" s="54"/>
      <c r="N142" s="10"/>
      <c r="O142" s="55">
        <f>L142+M142+N142</f>
        <v>2054.74</v>
      </c>
      <c r="P142" s="142"/>
      <c r="Q142" s="143">
        <f t="shared" si="17"/>
        <v>2054.74</v>
      </c>
    </row>
    <row r="143" spans="1:17" ht="12.75">
      <c r="A143" s="67" t="s">
        <v>77</v>
      </c>
      <c r="B143" s="169"/>
      <c r="C143" s="179">
        <f>C144+C153</f>
        <v>64180</v>
      </c>
      <c r="D143" s="180">
        <f>D144+D153</f>
        <v>79169.70999999999</v>
      </c>
      <c r="E143" s="180">
        <f>E144+E153</f>
        <v>0</v>
      </c>
      <c r="F143" s="181">
        <f>F144+F153</f>
        <v>143349.71</v>
      </c>
      <c r="G143" s="227"/>
      <c r="H143" s="6"/>
      <c r="I143" s="49">
        <f>I144+I153</f>
        <v>99449.70999999999</v>
      </c>
      <c r="J143" s="48"/>
      <c r="K143" s="6"/>
      <c r="L143" s="49">
        <f>L144+L153</f>
        <v>99449.70999999999</v>
      </c>
      <c r="M143" s="48"/>
      <c r="N143" s="6"/>
      <c r="O143" s="49">
        <f>O144+O153</f>
        <v>99449.70999999999</v>
      </c>
      <c r="P143" s="130"/>
      <c r="Q143" s="107">
        <f>Q144+Q153</f>
        <v>99449.70999999999</v>
      </c>
    </row>
    <row r="144" spans="1:17" ht="12.75">
      <c r="A144" s="76" t="s">
        <v>62</v>
      </c>
      <c r="B144" s="169"/>
      <c r="C144" s="191">
        <f>SUM(C146:C151)</f>
        <v>19180</v>
      </c>
      <c r="D144" s="192">
        <f>SUM(D146:D151)</f>
        <v>31510.010000000002</v>
      </c>
      <c r="E144" s="192">
        <f>SUM(E146:E151)</f>
        <v>0</v>
      </c>
      <c r="F144" s="193">
        <f>SUM(F146:F151)</f>
        <v>50690.01</v>
      </c>
      <c r="G144" s="231"/>
      <c r="H144" s="12"/>
      <c r="I144" s="59">
        <f>SUM(I146:I151)</f>
        <v>21690.010000000002</v>
      </c>
      <c r="J144" s="58"/>
      <c r="K144" s="12"/>
      <c r="L144" s="59">
        <f>SUM(L146:L151)</f>
        <v>21690.010000000002</v>
      </c>
      <c r="M144" s="58"/>
      <c r="N144" s="12"/>
      <c r="O144" s="59">
        <f>SUM(O146:O151)</f>
        <v>21690.010000000002</v>
      </c>
      <c r="P144" s="134"/>
      <c r="Q144" s="108">
        <f>SUM(Q146:Q151)</f>
        <v>21690.010000000002</v>
      </c>
    </row>
    <row r="145" spans="1:17" ht="12.75">
      <c r="A145" s="72" t="s">
        <v>33</v>
      </c>
      <c r="B145" s="165"/>
      <c r="C145" s="184"/>
      <c r="D145" s="182"/>
      <c r="E145" s="182"/>
      <c r="F145" s="181"/>
      <c r="G145" s="228"/>
      <c r="H145" s="7"/>
      <c r="I145" s="49"/>
      <c r="J145" s="50"/>
      <c r="K145" s="7"/>
      <c r="L145" s="49"/>
      <c r="M145" s="50"/>
      <c r="N145" s="7"/>
      <c r="O145" s="49"/>
      <c r="P145" s="129"/>
      <c r="Q145" s="127"/>
    </row>
    <row r="146" spans="1:17" ht="12.75">
      <c r="A146" s="70" t="s">
        <v>64</v>
      </c>
      <c r="B146" s="165"/>
      <c r="C146" s="184">
        <v>19180</v>
      </c>
      <c r="D146" s="182">
        <f>-49.87-50</f>
        <v>-99.87</v>
      </c>
      <c r="E146" s="182"/>
      <c r="F146" s="183">
        <f aca="true" t="shared" si="28" ref="F146:F152">C146+D146+E146</f>
        <v>19080.13</v>
      </c>
      <c r="G146" s="228"/>
      <c r="H146" s="7"/>
      <c r="I146" s="51">
        <f aca="true" t="shared" si="29" ref="I146:I152">F146+G146+H146</f>
        <v>19080.13</v>
      </c>
      <c r="J146" s="50"/>
      <c r="K146" s="7"/>
      <c r="L146" s="51">
        <f aca="true" t="shared" si="30" ref="L146:L152">I146+J146+K146</f>
        <v>19080.13</v>
      </c>
      <c r="M146" s="50"/>
      <c r="N146" s="7"/>
      <c r="O146" s="51">
        <f aca="true" t="shared" si="31" ref="O146:O152">L146+M146+N146</f>
        <v>19080.13</v>
      </c>
      <c r="P146" s="129"/>
      <c r="Q146" s="127">
        <f t="shared" si="17"/>
        <v>19080.13</v>
      </c>
    </row>
    <row r="147" spans="1:17" ht="12.75" hidden="1">
      <c r="A147" s="70" t="s">
        <v>79</v>
      </c>
      <c r="B147" s="165"/>
      <c r="C147" s="184"/>
      <c r="D147" s="182"/>
      <c r="E147" s="182"/>
      <c r="F147" s="183">
        <f t="shared" si="28"/>
        <v>0</v>
      </c>
      <c r="G147" s="228"/>
      <c r="H147" s="7"/>
      <c r="I147" s="51">
        <f t="shared" si="29"/>
        <v>0</v>
      </c>
      <c r="J147" s="50"/>
      <c r="K147" s="7"/>
      <c r="L147" s="51">
        <f t="shared" si="30"/>
        <v>0</v>
      </c>
      <c r="M147" s="50"/>
      <c r="N147" s="7"/>
      <c r="O147" s="51">
        <f t="shared" si="31"/>
        <v>0</v>
      </c>
      <c r="P147" s="129"/>
      <c r="Q147" s="127">
        <f t="shared" si="17"/>
        <v>0</v>
      </c>
    </row>
    <row r="148" spans="1:17" ht="12.75">
      <c r="A148" s="74" t="s">
        <v>274</v>
      </c>
      <c r="B148" s="165"/>
      <c r="C148" s="184"/>
      <c r="D148" s="182">
        <f>29000</f>
        <v>29000</v>
      </c>
      <c r="E148" s="182"/>
      <c r="F148" s="183">
        <f t="shared" si="28"/>
        <v>29000</v>
      </c>
      <c r="G148" s="228"/>
      <c r="H148" s="7"/>
      <c r="I148" s="51"/>
      <c r="J148" s="50"/>
      <c r="K148" s="7"/>
      <c r="L148" s="51"/>
      <c r="M148" s="50"/>
      <c r="N148" s="7"/>
      <c r="O148" s="51"/>
      <c r="P148" s="129"/>
      <c r="Q148" s="127"/>
    </row>
    <row r="149" spans="1:17" ht="12.75">
      <c r="A149" s="70" t="s">
        <v>80</v>
      </c>
      <c r="B149" s="165">
        <v>98278</v>
      </c>
      <c r="C149" s="184"/>
      <c r="D149" s="182">
        <f>43.5</f>
        <v>43.5</v>
      </c>
      <c r="E149" s="182"/>
      <c r="F149" s="183">
        <f t="shared" si="28"/>
        <v>43.5</v>
      </c>
      <c r="G149" s="228"/>
      <c r="H149" s="7"/>
      <c r="I149" s="51">
        <f t="shared" si="29"/>
        <v>43.5</v>
      </c>
      <c r="J149" s="50"/>
      <c r="K149" s="7"/>
      <c r="L149" s="51">
        <f t="shared" si="30"/>
        <v>43.5</v>
      </c>
      <c r="M149" s="50"/>
      <c r="N149" s="7"/>
      <c r="O149" s="51">
        <f t="shared" si="31"/>
        <v>43.5</v>
      </c>
      <c r="P149" s="129"/>
      <c r="Q149" s="127">
        <f t="shared" si="17"/>
        <v>43.5</v>
      </c>
    </row>
    <row r="150" spans="1:17" ht="12.75" hidden="1">
      <c r="A150" s="70" t="s">
        <v>94</v>
      </c>
      <c r="B150" s="165"/>
      <c r="C150" s="184"/>
      <c r="D150" s="182"/>
      <c r="E150" s="182"/>
      <c r="F150" s="183">
        <f t="shared" si="28"/>
        <v>0</v>
      </c>
      <c r="G150" s="228"/>
      <c r="H150" s="7"/>
      <c r="I150" s="51">
        <f t="shared" si="29"/>
        <v>0</v>
      </c>
      <c r="J150" s="50"/>
      <c r="K150" s="7"/>
      <c r="L150" s="51">
        <f t="shared" si="30"/>
        <v>0</v>
      </c>
      <c r="M150" s="50"/>
      <c r="N150" s="7"/>
      <c r="O150" s="51">
        <f t="shared" si="31"/>
        <v>0</v>
      </c>
      <c r="P150" s="129"/>
      <c r="Q150" s="127">
        <f aca="true" t="shared" si="32" ref="Q150:Q193">O150+P150</f>
        <v>0</v>
      </c>
    </row>
    <row r="151" spans="1:17" ht="12.75">
      <c r="A151" s="69" t="s">
        <v>81</v>
      </c>
      <c r="B151" s="165"/>
      <c r="C151" s="184"/>
      <c r="D151" s="182">
        <f>2500+66.38</f>
        <v>2566.38</v>
      </c>
      <c r="E151" s="182"/>
      <c r="F151" s="183">
        <f t="shared" si="28"/>
        <v>2566.38</v>
      </c>
      <c r="G151" s="228"/>
      <c r="H151" s="7"/>
      <c r="I151" s="51">
        <f t="shared" si="29"/>
        <v>2566.38</v>
      </c>
      <c r="J151" s="50"/>
      <c r="K151" s="7"/>
      <c r="L151" s="51">
        <f t="shared" si="30"/>
        <v>2566.38</v>
      </c>
      <c r="M151" s="50"/>
      <c r="N151" s="7"/>
      <c r="O151" s="51">
        <f t="shared" si="31"/>
        <v>2566.38</v>
      </c>
      <c r="P151" s="129"/>
      <c r="Q151" s="127">
        <f t="shared" si="32"/>
        <v>2566.38</v>
      </c>
    </row>
    <row r="152" spans="1:17" ht="12.75">
      <c r="A152" s="69" t="s">
        <v>82</v>
      </c>
      <c r="B152" s="165"/>
      <c r="C152" s="184"/>
      <c r="D152" s="182">
        <f>66.38+2500</f>
        <v>2566.38</v>
      </c>
      <c r="E152" s="182"/>
      <c r="F152" s="183">
        <f t="shared" si="28"/>
        <v>2566.38</v>
      </c>
      <c r="G152" s="228"/>
      <c r="H152" s="7"/>
      <c r="I152" s="51">
        <f t="shared" si="29"/>
        <v>2566.38</v>
      </c>
      <c r="J152" s="50"/>
      <c r="K152" s="7"/>
      <c r="L152" s="51">
        <f t="shared" si="30"/>
        <v>2566.38</v>
      </c>
      <c r="M152" s="50"/>
      <c r="N152" s="7"/>
      <c r="O152" s="51">
        <f t="shared" si="31"/>
        <v>2566.38</v>
      </c>
      <c r="P152" s="129"/>
      <c r="Q152" s="127">
        <f t="shared" si="32"/>
        <v>2566.38</v>
      </c>
    </row>
    <row r="153" spans="1:17" ht="12.75">
      <c r="A153" s="77" t="s">
        <v>67</v>
      </c>
      <c r="B153" s="169"/>
      <c r="C153" s="196">
        <f>SUM(C155:C160)</f>
        <v>45000</v>
      </c>
      <c r="D153" s="197">
        <f>SUM(D155:D160)</f>
        <v>47659.7</v>
      </c>
      <c r="E153" s="197">
        <f>SUM(E155:E160)</f>
        <v>0</v>
      </c>
      <c r="F153" s="198">
        <f>SUM(F155:F160)</f>
        <v>92659.7</v>
      </c>
      <c r="G153" s="117"/>
      <c r="H153" s="13"/>
      <c r="I153" s="61">
        <f>SUM(I155:I160)</f>
        <v>77759.7</v>
      </c>
      <c r="J153" s="60"/>
      <c r="K153" s="13"/>
      <c r="L153" s="61">
        <f>SUM(L155:L160)</f>
        <v>77759.7</v>
      </c>
      <c r="M153" s="60"/>
      <c r="N153" s="13"/>
      <c r="O153" s="61">
        <f>SUM(O155:O160)</f>
        <v>77759.7</v>
      </c>
      <c r="P153" s="135"/>
      <c r="Q153" s="120">
        <f>SUM(Q155:Q160)</f>
        <v>77759.7</v>
      </c>
    </row>
    <row r="154" spans="1:17" ht="12.75">
      <c r="A154" s="68" t="s">
        <v>33</v>
      </c>
      <c r="B154" s="165"/>
      <c r="C154" s="185"/>
      <c r="D154" s="186"/>
      <c r="E154" s="186"/>
      <c r="F154" s="187"/>
      <c r="G154" s="17"/>
      <c r="H154" s="8"/>
      <c r="I154" s="53"/>
      <c r="J154" s="52"/>
      <c r="K154" s="8"/>
      <c r="L154" s="53"/>
      <c r="M154" s="52"/>
      <c r="N154" s="8"/>
      <c r="O154" s="53"/>
      <c r="P154" s="129"/>
      <c r="Q154" s="127"/>
    </row>
    <row r="155" spans="1:17" ht="12.75">
      <c r="A155" s="69" t="s">
        <v>83</v>
      </c>
      <c r="B155" s="165"/>
      <c r="C155" s="184"/>
      <c r="D155" s="182">
        <f>16560+49.87+5000</f>
        <v>21609.87</v>
      </c>
      <c r="E155" s="182"/>
      <c r="F155" s="183">
        <f aca="true" t="shared" si="33" ref="F155:F161">C155+D155+E155</f>
        <v>21609.87</v>
      </c>
      <c r="G155" s="228"/>
      <c r="H155" s="7"/>
      <c r="I155" s="51">
        <f>F155+G155+H155</f>
        <v>21609.87</v>
      </c>
      <c r="J155" s="50"/>
      <c r="K155" s="7"/>
      <c r="L155" s="51">
        <f>I155+J155+K155</f>
        <v>21609.87</v>
      </c>
      <c r="M155" s="50"/>
      <c r="N155" s="7"/>
      <c r="O155" s="51">
        <f>L155+M155+N155</f>
        <v>21609.87</v>
      </c>
      <c r="P155" s="129"/>
      <c r="Q155" s="127">
        <f t="shared" si="32"/>
        <v>21609.87</v>
      </c>
    </row>
    <row r="156" spans="1:17" ht="12.75">
      <c r="A156" s="74" t="s">
        <v>341</v>
      </c>
      <c r="B156" s="165"/>
      <c r="C156" s="184"/>
      <c r="D156" s="182">
        <v>10000</v>
      </c>
      <c r="E156" s="182"/>
      <c r="F156" s="183">
        <f t="shared" si="33"/>
        <v>10000</v>
      </c>
      <c r="G156" s="228"/>
      <c r="H156" s="7"/>
      <c r="I156" s="51"/>
      <c r="J156" s="50"/>
      <c r="K156" s="7"/>
      <c r="L156" s="51"/>
      <c r="M156" s="50"/>
      <c r="N156" s="7"/>
      <c r="O156" s="51"/>
      <c r="P156" s="129"/>
      <c r="Q156" s="127"/>
    </row>
    <row r="157" spans="1:17" ht="12.75">
      <c r="A157" s="69" t="s">
        <v>68</v>
      </c>
      <c r="B157" s="165"/>
      <c r="C157" s="184"/>
      <c r="D157" s="182">
        <f>4900</f>
        <v>4900</v>
      </c>
      <c r="E157" s="182"/>
      <c r="F157" s="183">
        <f t="shared" si="33"/>
        <v>4900</v>
      </c>
      <c r="G157" s="228"/>
      <c r="H157" s="7"/>
      <c r="I157" s="51"/>
      <c r="J157" s="50"/>
      <c r="K157" s="7"/>
      <c r="L157" s="51"/>
      <c r="M157" s="50"/>
      <c r="N157" s="7"/>
      <c r="O157" s="51"/>
      <c r="P157" s="129"/>
      <c r="Q157" s="127"/>
    </row>
    <row r="158" spans="1:17" ht="12.75" hidden="1">
      <c r="A158" s="70" t="s">
        <v>272</v>
      </c>
      <c r="B158" s="165"/>
      <c r="C158" s="184"/>
      <c r="D158" s="182"/>
      <c r="E158" s="182"/>
      <c r="F158" s="183">
        <f t="shared" si="33"/>
        <v>0</v>
      </c>
      <c r="G158" s="228"/>
      <c r="H158" s="7"/>
      <c r="I158" s="51"/>
      <c r="J158" s="50"/>
      <c r="K158" s="7"/>
      <c r="L158" s="51"/>
      <c r="M158" s="50"/>
      <c r="N158" s="7"/>
      <c r="O158" s="51"/>
      <c r="P158" s="129"/>
      <c r="Q158" s="127"/>
    </row>
    <row r="159" spans="1:17" ht="12.75" hidden="1">
      <c r="A159" s="70" t="s">
        <v>94</v>
      </c>
      <c r="B159" s="165"/>
      <c r="C159" s="184"/>
      <c r="D159" s="182"/>
      <c r="E159" s="182"/>
      <c r="F159" s="183">
        <f t="shared" si="33"/>
        <v>0</v>
      </c>
      <c r="G159" s="228"/>
      <c r="H159" s="7"/>
      <c r="I159" s="51">
        <f>F159+G159+H159</f>
        <v>0</v>
      </c>
      <c r="J159" s="50"/>
      <c r="K159" s="7"/>
      <c r="L159" s="51">
        <f>I159+J159+K159</f>
        <v>0</v>
      </c>
      <c r="M159" s="50"/>
      <c r="N159" s="7"/>
      <c r="O159" s="51">
        <f>L159+M159+N159</f>
        <v>0</v>
      </c>
      <c r="P159" s="129"/>
      <c r="Q159" s="127">
        <f t="shared" si="32"/>
        <v>0</v>
      </c>
    </row>
    <row r="160" spans="1:17" ht="12.75">
      <c r="A160" s="69" t="s">
        <v>81</v>
      </c>
      <c r="B160" s="165"/>
      <c r="C160" s="184">
        <v>45000</v>
      </c>
      <c r="D160" s="182">
        <f>11216.21-66.38</f>
        <v>11149.83</v>
      </c>
      <c r="E160" s="182"/>
      <c r="F160" s="183">
        <f t="shared" si="33"/>
        <v>56149.83</v>
      </c>
      <c r="G160" s="228"/>
      <c r="H160" s="7"/>
      <c r="I160" s="51">
        <f>F160+G160+H160</f>
        <v>56149.83</v>
      </c>
      <c r="J160" s="50"/>
      <c r="K160" s="7"/>
      <c r="L160" s="51">
        <f>I160+J160+K160</f>
        <v>56149.83</v>
      </c>
      <c r="M160" s="50"/>
      <c r="N160" s="7"/>
      <c r="O160" s="51">
        <f>L160+M160+N160</f>
        <v>56149.83</v>
      </c>
      <c r="P160" s="129"/>
      <c r="Q160" s="127">
        <f t="shared" si="32"/>
        <v>56149.83</v>
      </c>
    </row>
    <row r="161" spans="1:17" ht="12.75">
      <c r="A161" s="78" t="s">
        <v>84</v>
      </c>
      <c r="B161" s="168"/>
      <c r="C161" s="194"/>
      <c r="D161" s="195">
        <v>11149.83</v>
      </c>
      <c r="E161" s="195"/>
      <c r="F161" s="246">
        <f t="shared" si="33"/>
        <v>11149.83</v>
      </c>
      <c r="G161" s="16"/>
      <c r="H161" s="10"/>
      <c r="I161" s="55">
        <f>F161+G161+H161</f>
        <v>11149.83</v>
      </c>
      <c r="J161" s="54"/>
      <c r="K161" s="10"/>
      <c r="L161" s="55">
        <f>I161+J161+K161</f>
        <v>11149.83</v>
      </c>
      <c r="M161" s="54"/>
      <c r="N161" s="10"/>
      <c r="O161" s="55">
        <f>L161+M161+N161</f>
        <v>11149.83</v>
      </c>
      <c r="P161" s="142"/>
      <c r="Q161" s="143">
        <f t="shared" si="32"/>
        <v>11149.83</v>
      </c>
    </row>
    <row r="162" spans="1:17" ht="12.75">
      <c r="A162" s="71" t="s">
        <v>85</v>
      </c>
      <c r="B162" s="169"/>
      <c r="C162" s="185">
        <f>C163+C168</f>
        <v>7660</v>
      </c>
      <c r="D162" s="186">
        <f>D163+D168</f>
        <v>3578.35</v>
      </c>
      <c r="E162" s="186">
        <f>E163+E168</f>
        <v>0</v>
      </c>
      <c r="F162" s="187">
        <f>F163+F168</f>
        <v>11238.35</v>
      </c>
      <c r="G162" s="17"/>
      <c r="H162" s="8"/>
      <c r="I162" s="53" t="e">
        <f>I163+I168</f>
        <v>#REF!</v>
      </c>
      <c r="J162" s="52"/>
      <c r="K162" s="8"/>
      <c r="L162" s="53" t="e">
        <f>L163+L168</f>
        <v>#REF!</v>
      </c>
      <c r="M162" s="52"/>
      <c r="N162" s="8"/>
      <c r="O162" s="53" t="e">
        <f>O163+O168</f>
        <v>#REF!</v>
      </c>
      <c r="P162" s="132"/>
      <c r="Q162" s="63" t="e">
        <f>Q163+Q168</f>
        <v>#REF!</v>
      </c>
    </row>
    <row r="163" spans="1:17" ht="12.75">
      <c r="A163" s="76" t="s">
        <v>62</v>
      </c>
      <c r="B163" s="169"/>
      <c r="C163" s="191">
        <f>SUM(C165:C167)</f>
        <v>7660</v>
      </c>
      <c r="D163" s="192">
        <f>SUM(D165:D167)</f>
        <v>3578.35</v>
      </c>
      <c r="E163" s="192">
        <f>SUM(E165:E167)</f>
        <v>0</v>
      </c>
      <c r="F163" s="193">
        <f>SUM(F165:F167)</f>
        <v>11238.35</v>
      </c>
      <c r="G163" s="231"/>
      <c r="H163" s="12"/>
      <c r="I163" s="59">
        <f>SUM(I165:I167)</f>
        <v>11238.35</v>
      </c>
      <c r="J163" s="58"/>
      <c r="K163" s="12"/>
      <c r="L163" s="59">
        <f>SUM(L165:L167)</f>
        <v>11238.35</v>
      </c>
      <c r="M163" s="58"/>
      <c r="N163" s="12"/>
      <c r="O163" s="59">
        <f>SUM(O165:O167)</f>
        <v>11238.35</v>
      </c>
      <c r="P163" s="134"/>
      <c r="Q163" s="108">
        <f>SUM(Q165:Q167)</f>
        <v>11238.35</v>
      </c>
    </row>
    <row r="164" spans="1:17" ht="12.75">
      <c r="A164" s="72" t="s">
        <v>33</v>
      </c>
      <c r="B164" s="165"/>
      <c r="C164" s="184"/>
      <c r="D164" s="182"/>
      <c r="E164" s="182"/>
      <c r="F164" s="181"/>
      <c r="G164" s="228"/>
      <c r="H164" s="7"/>
      <c r="I164" s="49"/>
      <c r="J164" s="50"/>
      <c r="K164" s="7"/>
      <c r="L164" s="49"/>
      <c r="M164" s="50"/>
      <c r="N164" s="7"/>
      <c r="O164" s="49"/>
      <c r="P164" s="129"/>
      <c r="Q164" s="127"/>
    </row>
    <row r="165" spans="1:17" ht="12.75">
      <c r="A165" s="70" t="s">
        <v>64</v>
      </c>
      <c r="B165" s="165"/>
      <c r="C165" s="184">
        <v>7660</v>
      </c>
      <c r="D165" s="182">
        <f>2205.35</f>
        <v>2205.35</v>
      </c>
      <c r="E165" s="182"/>
      <c r="F165" s="183">
        <f>C165+D165+E165</f>
        <v>9865.35</v>
      </c>
      <c r="G165" s="228"/>
      <c r="H165" s="7"/>
      <c r="I165" s="51">
        <f>SUM(F165:H165)</f>
        <v>9865.35</v>
      </c>
      <c r="J165" s="50"/>
      <c r="K165" s="7"/>
      <c r="L165" s="51">
        <f>I165+J165+K165</f>
        <v>9865.35</v>
      </c>
      <c r="M165" s="50"/>
      <c r="N165" s="7"/>
      <c r="O165" s="51">
        <f>L165+M165+N165</f>
        <v>9865.35</v>
      </c>
      <c r="P165" s="129"/>
      <c r="Q165" s="127">
        <f t="shared" si="32"/>
        <v>9865.35</v>
      </c>
    </row>
    <row r="166" spans="1:17" ht="12.75">
      <c r="A166" s="81" t="s">
        <v>86</v>
      </c>
      <c r="B166" s="168">
        <v>33166</v>
      </c>
      <c r="C166" s="194"/>
      <c r="D166" s="195">
        <f>1373</f>
        <v>1373</v>
      </c>
      <c r="E166" s="195"/>
      <c r="F166" s="246">
        <f>C166+D166+E166</f>
        <v>1373</v>
      </c>
      <c r="G166" s="228"/>
      <c r="H166" s="7"/>
      <c r="I166" s="51">
        <f>SUM(F166:H166)</f>
        <v>1373</v>
      </c>
      <c r="J166" s="50"/>
      <c r="K166" s="7"/>
      <c r="L166" s="51">
        <f>I166+J166+K166</f>
        <v>1373</v>
      </c>
      <c r="M166" s="50"/>
      <c r="N166" s="7"/>
      <c r="O166" s="51">
        <f>L166+M166+N166</f>
        <v>1373</v>
      </c>
      <c r="P166" s="129"/>
      <c r="Q166" s="127">
        <f t="shared" si="32"/>
        <v>1373</v>
      </c>
    </row>
    <row r="167" spans="1:17" ht="12.75" hidden="1">
      <c r="A167" s="74" t="s">
        <v>79</v>
      </c>
      <c r="B167" s="165"/>
      <c r="C167" s="184"/>
      <c r="D167" s="182"/>
      <c r="E167" s="182"/>
      <c r="F167" s="183">
        <f>C167+D167+E167</f>
        <v>0</v>
      </c>
      <c r="G167" s="228"/>
      <c r="H167" s="7"/>
      <c r="I167" s="51">
        <f>SUM(F167:H167)</f>
        <v>0</v>
      </c>
      <c r="J167" s="50"/>
      <c r="K167" s="7"/>
      <c r="L167" s="51">
        <f>I167+J167+K167</f>
        <v>0</v>
      </c>
      <c r="M167" s="50"/>
      <c r="N167" s="7"/>
      <c r="O167" s="51">
        <f>L167+M167+N167</f>
        <v>0</v>
      </c>
      <c r="P167" s="129"/>
      <c r="Q167" s="127">
        <f t="shared" si="32"/>
        <v>0</v>
      </c>
    </row>
    <row r="168" spans="1:17" ht="12.75" hidden="1">
      <c r="A168" s="76" t="s">
        <v>67</v>
      </c>
      <c r="B168" s="169"/>
      <c r="C168" s="191">
        <f>C170</f>
        <v>0</v>
      </c>
      <c r="D168" s="192">
        <f>D170</f>
        <v>0</v>
      </c>
      <c r="E168" s="192">
        <f>E170</f>
        <v>0</v>
      </c>
      <c r="F168" s="193">
        <f>F170</f>
        <v>0</v>
      </c>
      <c r="G168" s="231"/>
      <c r="H168" s="12"/>
      <c r="I168" s="59" t="e">
        <f>#REF!</f>
        <v>#REF!</v>
      </c>
      <c r="J168" s="58"/>
      <c r="K168" s="12"/>
      <c r="L168" s="59" t="e">
        <f>#REF!+L170</f>
        <v>#REF!</v>
      </c>
      <c r="M168" s="58"/>
      <c r="N168" s="12"/>
      <c r="O168" s="59" t="e">
        <f>#REF!+O170</f>
        <v>#REF!</v>
      </c>
      <c r="P168" s="134"/>
      <c r="Q168" s="108" t="e">
        <f>#REF!+Q170</f>
        <v>#REF!</v>
      </c>
    </row>
    <row r="169" spans="1:17" ht="12.75" hidden="1">
      <c r="A169" s="72" t="s">
        <v>33</v>
      </c>
      <c r="B169" s="165"/>
      <c r="C169" s="184"/>
      <c r="D169" s="182"/>
      <c r="E169" s="182"/>
      <c r="F169" s="181"/>
      <c r="G169" s="228"/>
      <c r="H169" s="7"/>
      <c r="I169" s="49"/>
      <c r="J169" s="50"/>
      <c r="K169" s="7"/>
      <c r="L169" s="49"/>
      <c r="M169" s="50"/>
      <c r="N169" s="7"/>
      <c r="O169" s="49"/>
      <c r="P169" s="129"/>
      <c r="Q169" s="127"/>
    </row>
    <row r="170" spans="1:17" ht="12.75" hidden="1">
      <c r="A170" s="73" t="s">
        <v>209</v>
      </c>
      <c r="B170" s="168"/>
      <c r="C170" s="194"/>
      <c r="D170" s="195"/>
      <c r="E170" s="195"/>
      <c r="F170" s="246">
        <f>C170+D170+E170</f>
        <v>0</v>
      </c>
      <c r="G170" s="16"/>
      <c r="H170" s="10"/>
      <c r="I170" s="123"/>
      <c r="J170" s="54"/>
      <c r="K170" s="10"/>
      <c r="L170" s="55">
        <f>I170+J170+K170</f>
        <v>0</v>
      </c>
      <c r="M170" s="54"/>
      <c r="N170" s="10"/>
      <c r="O170" s="55">
        <f>L170+M170+N170</f>
        <v>0</v>
      </c>
      <c r="P170" s="142"/>
      <c r="Q170" s="143">
        <f t="shared" si="32"/>
        <v>0</v>
      </c>
    </row>
    <row r="171" spans="1:17" ht="12.75">
      <c r="A171" s="67" t="s">
        <v>87</v>
      </c>
      <c r="B171" s="169"/>
      <c r="C171" s="179">
        <f>C172+C184</f>
        <v>1120747.5</v>
      </c>
      <c r="D171" s="180">
        <f>D172+D184</f>
        <v>72605.79000000001</v>
      </c>
      <c r="E171" s="180">
        <f>E172+E184</f>
        <v>0</v>
      </c>
      <c r="F171" s="181">
        <f>F172+F184</f>
        <v>1193353.29</v>
      </c>
      <c r="G171" s="227"/>
      <c r="H171" s="6"/>
      <c r="I171" s="49">
        <f>I172+I184</f>
        <v>1193353.29</v>
      </c>
      <c r="J171" s="48"/>
      <c r="K171" s="6"/>
      <c r="L171" s="49">
        <f>L172+L184</f>
        <v>1193353.29</v>
      </c>
      <c r="M171" s="48"/>
      <c r="N171" s="6"/>
      <c r="O171" s="49">
        <f>O172+O184</f>
        <v>1193353.29</v>
      </c>
      <c r="P171" s="130"/>
      <c r="Q171" s="107">
        <f>Q172+Q184</f>
        <v>1193353.29</v>
      </c>
    </row>
    <row r="172" spans="1:17" ht="12.75">
      <c r="A172" s="76" t="s">
        <v>62</v>
      </c>
      <c r="B172" s="169"/>
      <c r="C172" s="191">
        <f>SUM(C175:C183)</f>
        <v>1113747.5</v>
      </c>
      <c r="D172" s="192">
        <f>SUM(D175:D183)</f>
        <v>57607.5</v>
      </c>
      <c r="E172" s="192">
        <f>SUM(E175:E183)</f>
        <v>0</v>
      </c>
      <c r="F172" s="193">
        <f>SUM(F175:F183)</f>
        <v>1171355</v>
      </c>
      <c r="G172" s="231"/>
      <c r="H172" s="12"/>
      <c r="I172" s="59">
        <f>SUM(I175:I183)</f>
        <v>1171355</v>
      </c>
      <c r="J172" s="58"/>
      <c r="K172" s="12"/>
      <c r="L172" s="59">
        <f>SUM(L175:L183)</f>
        <v>1171355</v>
      </c>
      <c r="M172" s="58"/>
      <c r="N172" s="12"/>
      <c r="O172" s="59">
        <f>SUM(O175:O183)</f>
        <v>1171355</v>
      </c>
      <c r="P172" s="134"/>
      <c r="Q172" s="108">
        <f>SUM(Q175:Q183)</f>
        <v>1171355</v>
      </c>
    </row>
    <row r="173" spans="1:17" ht="12.75">
      <c r="A173" s="72" t="s">
        <v>33</v>
      </c>
      <c r="B173" s="165"/>
      <c r="C173" s="184"/>
      <c r="D173" s="182"/>
      <c r="E173" s="182"/>
      <c r="F173" s="181"/>
      <c r="G173" s="228"/>
      <c r="H173" s="7"/>
      <c r="I173" s="49"/>
      <c r="J173" s="50"/>
      <c r="K173" s="7"/>
      <c r="L173" s="49"/>
      <c r="M173" s="50"/>
      <c r="N173" s="7"/>
      <c r="O173" s="49"/>
      <c r="P173" s="129"/>
      <c r="Q173" s="127"/>
    </row>
    <row r="174" spans="1:17" ht="12.75">
      <c r="A174" s="74" t="s">
        <v>88</v>
      </c>
      <c r="B174" s="165"/>
      <c r="C174" s="184">
        <f>C175+C176</f>
        <v>674371</v>
      </c>
      <c r="D174" s="182">
        <f>D175+D176</f>
        <v>18672.71</v>
      </c>
      <c r="E174" s="182">
        <f>E175+E176</f>
        <v>0</v>
      </c>
      <c r="F174" s="183">
        <f>F175+F176</f>
        <v>693043.71</v>
      </c>
      <c r="G174" s="228"/>
      <c r="H174" s="7"/>
      <c r="I174" s="51">
        <f>I175+I176</f>
        <v>693043.71</v>
      </c>
      <c r="J174" s="50"/>
      <c r="K174" s="7"/>
      <c r="L174" s="51">
        <f>L175+L176</f>
        <v>693043.71</v>
      </c>
      <c r="M174" s="50"/>
      <c r="N174" s="7"/>
      <c r="O174" s="51">
        <f>O175+O176</f>
        <v>693043.71</v>
      </c>
      <c r="P174" s="129"/>
      <c r="Q174" s="127">
        <f t="shared" si="32"/>
        <v>693043.71</v>
      </c>
    </row>
    <row r="175" spans="1:17" ht="12.75">
      <c r="A175" s="74" t="s">
        <v>89</v>
      </c>
      <c r="B175" s="165"/>
      <c r="C175" s="184">
        <v>296942</v>
      </c>
      <c r="D175" s="182">
        <f>2195.61+7600+7.1+2400+6470</f>
        <v>18672.71</v>
      </c>
      <c r="E175" s="182"/>
      <c r="F175" s="183">
        <f aca="true" t="shared" si="34" ref="F175:F183">C175+D175+E175</f>
        <v>315614.71</v>
      </c>
      <c r="G175" s="232"/>
      <c r="H175" s="15"/>
      <c r="I175" s="51">
        <f aca="true" t="shared" si="35" ref="I175:I183">F175+G175+H175</f>
        <v>315614.71</v>
      </c>
      <c r="J175" s="50"/>
      <c r="K175" s="7"/>
      <c r="L175" s="51">
        <f aca="true" t="shared" si="36" ref="L175:L183">I175+J175+K175</f>
        <v>315614.71</v>
      </c>
      <c r="M175" s="50"/>
      <c r="N175" s="7"/>
      <c r="O175" s="51">
        <f aca="true" t="shared" si="37" ref="O175:O183">L175+M175+N175</f>
        <v>315614.71</v>
      </c>
      <c r="P175" s="129"/>
      <c r="Q175" s="127">
        <f t="shared" si="32"/>
        <v>315614.71</v>
      </c>
    </row>
    <row r="176" spans="1:17" ht="12.75">
      <c r="A176" s="70" t="s">
        <v>90</v>
      </c>
      <c r="B176" s="165"/>
      <c r="C176" s="184">
        <v>377429</v>
      </c>
      <c r="D176" s="182"/>
      <c r="E176" s="182"/>
      <c r="F176" s="183">
        <f t="shared" si="34"/>
        <v>377429</v>
      </c>
      <c r="G176" s="232"/>
      <c r="H176" s="15"/>
      <c r="I176" s="51">
        <f t="shared" si="35"/>
        <v>377429</v>
      </c>
      <c r="J176" s="50"/>
      <c r="K176" s="7"/>
      <c r="L176" s="51">
        <f t="shared" si="36"/>
        <v>377429</v>
      </c>
      <c r="M176" s="50"/>
      <c r="N176" s="7"/>
      <c r="O176" s="51">
        <f t="shared" si="37"/>
        <v>377429</v>
      </c>
      <c r="P176" s="129"/>
      <c r="Q176" s="127">
        <f t="shared" si="32"/>
        <v>377429</v>
      </c>
    </row>
    <row r="177" spans="1:17" ht="12.75">
      <c r="A177" s="74" t="s">
        <v>91</v>
      </c>
      <c r="B177" s="165"/>
      <c r="C177" s="184">
        <v>20876.5</v>
      </c>
      <c r="D177" s="182"/>
      <c r="E177" s="182"/>
      <c r="F177" s="183">
        <f t="shared" si="34"/>
        <v>20876.5</v>
      </c>
      <c r="G177" s="145"/>
      <c r="H177" s="14"/>
      <c r="I177" s="51">
        <f t="shared" si="35"/>
        <v>20876.5</v>
      </c>
      <c r="J177" s="62"/>
      <c r="K177" s="14"/>
      <c r="L177" s="51">
        <f t="shared" si="36"/>
        <v>20876.5</v>
      </c>
      <c r="M177" s="50"/>
      <c r="N177" s="7"/>
      <c r="O177" s="51">
        <f t="shared" si="37"/>
        <v>20876.5</v>
      </c>
      <c r="P177" s="129"/>
      <c r="Q177" s="127">
        <f t="shared" si="32"/>
        <v>20876.5</v>
      </c>
    </row>
    <row r="178" spans="1:17" ht="12.75" hidden="1">
      <c r="A178" s="70" t="s">
        <v>92</v>
      </c>
      <c r="B178" s="165"/>
      <c r="C178" s="184"/>
      <c r="D178" s="182"/>
      <c r="E178" s="182"/>
      <c r="F178" s="183">
        <f t="shared" si="34"/>
        <v>0</v>
      </c>
      <c r="G178" s="228"/>
      <c r="H178" s="7"/>
      <c r="I178" s="51">
        <f t="shared" si="35"/>
        <v>0</v>
      </c>
      <c r="J178" s="50"/>
      <c r="K178" s="7"/>
      <c r="L178" s="51">
        <f t="shared" si="36"/>
        <v>0</v>
      </c>
      <c r="M178" s="50"/>
      <c r="N178" s="7"/>
      <c r="O178" s="51">
        <f t="shared" si="37"/>
        <v>0</v>
      </c>
      <c r="P178" s="129"/>
      <c r="Q178" s="127">
        <f t="shared" si="32"/>
        <v>0</v>
      </c>
    </row>
    <row r="179" spans="1:17" ht="12.75" hidden="1">
      <c r="A179" s="70" t="s">
        <v>79</v>
      </c>
      <c r="B179" s="165"/>
      <c r="C179" s="184"/>
      <c r="D179" s="182"/>
      <c r="E179" s="182"/>
      <c r="F179" s="183">
        <f t="shared" si="34"/>
        <v>0</v>
      </c>
      <c r="G179" s="228"/>
      <c r="H179" s="7"/>
      <c r="I179" s="51">
        <f t="shared" si="35"/>
        <v>0</v>
      </c>
      <c r="J179" s="50"/>
      <c r="K179" s="7"/>
      <c r="L179" s="51">
        <f t="shared" si="36"/>
        <v>0</v>
      </c>
      <c r="M179" s="50"/>
      <c r="N179" s="7"/>
      <c r="O179" s="51">
        <f t="shared" si="37"/>
        <v>0</v>
      </c>
      <c r="P179" s="129"/>
      <c r="Q179" s="127">
        <f t="shared" si="32"/>
        <v>0</v>
      </c>
    </row>
    <row r="180" spans="1:17" ht="12.75" hidden="1">
      <c r="A180" s="70" t="s">
        <v>93</v>
      </c>
      <c r="B180" s="165">
        <v>91252</v>
      </c>
      <c r="C180" s="184"/>
      <c r="D180" s="182"/>
      <c r="E180" s="182"/>
      <c r="F180" s="183">
        <f t="shared" si="34"/>
        <v>0</v>
      </c>
      <c r="G180" s="228"/>
      <c r="H180" s="7"/>
      <c r="I180" s="51">
        <f t="shared" si="35"/>
        <v>0</v>
      </c>
      <c r="J180" s="50"/>
      <c r="K180" s="7"/>
      <c r="L180" s="51">
        <f t="shared" si="36"/>
        <v>0</v>
      </c>
      <c r="M180" s="50"/>
      <c r="N180" s="7"/>
      <c r="O180" s="51">
        <f t="shared" si="37"/>
        <v>0</v>
      </c>
      <c r="P180" s="129"/>
      <c r="Q180" s="127">
        <f t="shared" si="32"/>
        <v>0</v>
      </c>
    </row>
    <row r="181" spans="1:17" ht="12.75" hidden="1">
      <c r="A181" s="70" t="s">
        <v>168</v>
      </c>
      <c r="B181" s="165">
        <v>27355</v>
      </c>
      <c r="C181" s="184"/>
      <c r="D181" s="182"/>
      <c r="E181" s="182"/>
      <c r="F181" s="183">
        <f t="shared" si="34"/>
        <v>0</v>
      </c>
      <c r="G181" s="228"/>
      <c r="H181" s="7"/>
      <c r="I181" s="51">
        <f t="shared" si="35"/>
        <v>0</v>
      </c>
      <c r="J181" s="50"/>
      <c r="K181" s="7"/>
      <c r="L181" s="51">
        <f t="shared" si="36"/>
        <v>0</v>
      </c>
      <c r="M181" s="50"/>
      <c r="N181" s="7"/>
      <c r="O181" s="51">
        <f t="shared" si="37"/>
        <v>0</v>
      </c>
      <c r="P181" s="129"/>
      <c r="Q181" s="127">
        <f t="shared" si="32"/>
        <v>0</v>
      </c>
    </row>
    <row r="182" spans="1:17" ht="12.75">
      <c r="A182" s="70" t="s">
        <v>64</v>
      </c>
      <c r="B182" s="165"/>
      <c r="C182" s="184">
        <v>418500</v>
      </c>
      <c r="D182" s="182">
        <f>1397.79+37537</f>
        <v>38934.79</v>
      </c>
      <c r="E182" s="195"/>
      <c r="F182" s="183">
        <f t="shared" si="34"/>
        <v>457434.79</v>
      </c>
      <c r="G182" s="228"/>
      <c r="H182" s="7"/>
      <c r="I182" s="51">
        <f t="shared" si="35"/>
        <v>457434.79</v>
      </c>
      <c r="J182" s="50"/>
      <c r="K182" s="7"/>
      <c r="L182" s="51">
        <f t="shared" si="36"/>
        <v>457434.79</v>
      </c>
      <c r="M182" s="50"/>
      <c r="N182" s="7"/>
      <c r="O182" s="51">
        <f t="shared" si="37"/>
        <v>457434.79</v>
      </c>
      <c r="P182" s="129"/>
      <c r="Q182" s="127">
        <f t="shared" si="32"/>
        <v>457434.79</v>
      </c>
    </row>
    <row r="183" spans="1:17" ht="12" customHeight="1" hidden="1">
      <c r="A183" s="70" t="s">
        <v>94</v>
      </c>
      <c r="B183" s="165"/>
      <c r="C183" s="184"/>
      <c r="D183" s="182"/>
      <c r="E183" s="182"/>
      <c r="F183" s="183">
        <f t="shared" si="34"/>
        <v>0</v>
      </c>
      <c r="G183" s="228"/>
      <c r="H183" s="7"/>
      <c r="I183" s="51">
        <f t="shared" si="35"/>
        <v>0</v>
      </c>
      <c r="J183" s="50"/>
      <c r="K183" s="7"/>
      <c r="L183" s="51">
        <f t="shared" si="36"/>
        <v>0</v>
      </c>
      <c r="M183" s="50"/>
      <c r="N183" s="7"/>
      <c r="O183" s="51">
        <f t="shared" si="37"/>
        <v>0</v>
      </c>
      <c r="P183" s="129"/>
      <c r="Q183" s="127">
        <f t="shared" si="32"/>
        <v>0</v>
      </c>
    </row>
    <row r="184" spans="1:17" ht="12.75">
      <c r="A184" s="77" t="s">
        <v>67</v>
      </c>
      <c r="B184" s="169"/>
      <c r="C184" s="196">
        <f>SUM(C186:C188)</f>
        <v>7000</v>
      </c>
      <c r="D184" s="197">
        <f>SUM(D186:D188)</f>
        <v>14998.29</v>
      </c>
      <c r="E184" s="197">
        <f>SUM(E186:E188)</f>
        <v>0</v>
      </c>
      <c r="F184" s="198">
        <f>SUM(F186:F188)</f>
        <v>21998.29</v>
      </c>
      <c r="G184" s="117"/>
      <c r="H184" s="13"/>
      <c r="I184" s="61">
        <f>SUM(I186:I187)</f>
        <v>21998.29</v>
      </c>
      <c r="J184" s="60"/>
      <c r="K184" s="13"/>
      <c r="L184" s="61">
        <f>SUM(L186:L187)</f>
        <v>21998.29</v>
      </c>
      <c r="M184" s="60"/>
      <c r="N184" s="13"/>
      <c r="O184" s="61">
        <f>SUM(O186:O187)</f>
        <v>21998.29</v>
      </c>
      <c r="P184" s="135"/>
      <c r="Q184" s="120">
        <f>SUM(Q186:Q187)</f>
        <v>21998.29</v>
      </c>
    </row>
    <row r="185" spans="1:17" ht="12.75">
      <c r="A185" s="68" t="s">
        <v>33</v>
      </c>
      <c r="B185" s="165"/>
      <c r="C185" s="185"/>
      <c r="D185" s="186"/>
      <c r="E185" s="186"/>
      <c r="F185" s="187"/>
      <c r="G185" s="17"/>
      <c r="H185" s="8"/>
      <c r="I185" s="53"/>
      <c r="J185" s="52"/>
      <c r="K185" s="8"/>
      <c r="L185" s="53"/>
      <c r="M185" s="52"/>
      <c r="N185" s="8"/>
      <c r="O185" s="53"/>
      <c r="P185" s="129"/>
      <c r="Q185" s="127"/>
    </row>
    <row r="186" spans="1:17" ht="12.75">
      <c r="A186" s="69" t="s">
        <v>68</v>
      </c>
      <c r="B186" s="165"/>
      <c r="C186" s="184"/>
      <c r="D186" s="182">
        <f>1998.29+10000</f>
        <v>11998.29</v>
      </c>
      <c r="E186" s="182"/>
      <c r="F186" s="183">
        <f>C186+D186+E186</f>
        <v>11998.29</v>
      </c>
      <c r="G186" s="228"/>
      <c r="H186" s="7"/>
      <c r="I186" s="51">
        <f>F186+G186+H186</f>
        <v>11998.29</v>
      </c>
      <c r="J186" s="50"/>
      <c r="K186" s="7"/>
      <c r="L186" s="51">
        <f>I186+J186+K186</f>
        <v>11998.29</v>
      </c>
      <c r="M186" s="50"/>
      <c r="N186" s="7"/>
      <c r="O186" s="51">
        <f>L186+M186+N186</f>
        <v>11998.29</v>
      </c>
      <c r="P186" s="129"/>
      <c r="Q186" s="127">
        <f t="shared" si="32"/>
        <v>11998.29</v>
      </c>
    </row>
    <row r="187" spans="1:17" ht="12.75">
      <c r="A187" s="73" t="s">
        <v>109</v>
      </c>
      <c r="B187" s="168"/>
      <c r="C187" s="194">
        <v>7000</v>
      </c>
      <c r="D187" s="195">
        <f>3000</f>
        <v>3000</v>
      </c>
      <c r="E187" s="195"/>
      <c r="F187" s="246">
        <f>C187+D187+E187</f>
        <v>10000</v>
      </c>
      <c r="G187" s="228"/>
      <c r="H187" s="7"/>
      <c r="I187" s="51">
        <f>F187+G187+H187</f>
        <v>10000</v>
      </c>
      <c r="J187" s="50"/>
      <c r="K187" s="7"/>
      <c r="L187" s="51">
        <f>I187+J187+K187</f>
        <v>10000</v>
      </c>
      <c r="M187" s="50"/>
      <c r="N187" s="7"/>
      <c r="O187" s="51">
        <f>L187+M187+N187</f>
        <v>10000</v>
      </c>
      <c r="P187" s="129"/>
      <c r="Q187" s="127">
        <f t="shared" si="32"/>
        <v>10000</v>
      </c>
    </row>
    <row r="188" spans="1:17" ht="12.75" hidden="1">
      <c r="A188" s="73" t="s">
        <v>95</v>
      </c>
      <c r="B188" s="168"/>
      <c r="C188" s="194"/>
      <c r="D188" s="195"/>
      <c r="E188" s="195"/>
      <c r="F188" s="246">
        <f>C188+D188+E188</f>
        <v>0</v>
      </c>
      <c r="G188" s="16"/>
      <c r="H188" s="10"/>
      <c r="I188" s="55">
        <f>F188+G188+H188</f>
        <v>0</v>
      </c>
      <c r="J188" s="54"/>
      <c r="K188" s="10"/>
      <c r="L188" s="55">
        <f>I188+J188+K188</f>
        <v>0</v>
      </c>
      <c r="M188" s="54"/>
      <c r="N188" s="10"/>
      <c r="O188" s="55">
        <f>L188+M188+N188</f>
        <v>0</v>
      </c>
      <c r="P188" s="142"/>
      <c r="Q188" s="143">
        <f t="shared" si="32"/>
        <v>0</v>
      </c>
    </row>
    <row r="189" spans="1:17" ht="12.75">
      <c r="A189" s="71" t="s">
        <v>96</v>
      </c>
      <c r="B189" s="169"/>
      <c r="C189" s="185">
        <f>C190+C195</f>
        <v>33600.8</v>
      </c>
      <c r="D189" s="186">
        <f>D190+D195</f>
        <v>202840</v>
      </c>
      <c r="E189" s="186">
        <f>E190+E195</f>
        <v>0</v>
      </c>
      <c r="F189" s="187">
        <f>F190+F195</f>
        <v>236440.8</v>
      </c>
      <c r="G189" s="17"/>
      <c r="H189" s="8"/>
      <c r="I189" s="53" t="e">
        <f>I190+I195</f>
        <v>#REF!</v>
      </c>
      <c r="J189" s="52"/>
      <c r="K189" s="8"/>
      <c r="L189" s="53" t="e">
        <f>L190+L195</f>
        <v>#REF!</v>
      </c>
      <c r="M189" s="52"/>
      <c r="N189" s="8"/>
      <c r="O189" s="53" t="e">
        <f>O190+O195</f>
        <v>#REF!</v>
      </c>
      <c r="P189" s="132"/>
      <c r="Q189" s="63" t="e">
        <f>Q190+Q195</f>
        <v>#REF!</v>
      </c>
    </row>
    <row r="190" spans="1:17" ht="12.75">
      <c r="A190" s="76" t="s">
        <v>62</v>
      </c>
      <c r="B190" s="169"/>
      <c r="C190" s="191">
        <f>SUM(C192:C194)</f>
        <v>31600.8</v>
      </c>
      <c r="D190" s="192">
        <f>SUM(D192:D194)</f>
        <v>100</v>
      </c>
      <c r="E190" s="192">
        <f>SUM(E192:E194)</f>
        <v>0</v>
      </c>
      <c r="F190" s="193">
        <f>SUM(F192:F194)</f>
        <v>31700.8</v>
      </c>
      <c r="G190" s="231"/>
      <c r="H190" s="12"/>
      <c r="I190" s="59">
        <f>SUM(I192:I194)</f>
        <v>31700.8</v>
      </c>
      <c r="J190" s="58"/>
      <c r="K190" s="12"/>
      <c r="L190" s="59">
        <f>SUM(L192:L194)</f>
        <v>31700.8</v>
      </c>
      <c r="M190" s="58"/>
      <c r="N190" s="12"/>
      <c r="O190" s="59">
        <f>SUM(O192:O194)</f>
        <v>31700.8</v>
      </c>
      <c r="P190" s="134"/>
      <c r="Q190" s="108">
        <f>SUM(Q192:Q194)</f>
        <v>31700.8</v>
      </c>
    </row>
    <row r="191" spans="1:17" ht="12.75">
      <c r="A191" s="72" t="s">
        <v>33</v>
      </c>
      <c r="B191" s="165"/>
      <c r="C191" s="184"/>
      <c r="D191" s="182"/>
      <c r="E191" s="182"/>
      <c r="F191" s="181"/>
      <c r="G191" s="228"/>
      <c r="H191" s="7"/>
      <c r="I191" s="49"/>
      <c r="J191" s="50"/>
      <c r="K191" s="7"/>
      <c r="L191" s="49"/>
      <c r="M191" s="50"/>
      <c r="N191" s="7"/>
      <c r="O191" s="49"/>
      <c r="P191" s="129"/>
      <c r="Q191" s="127"/>
    </row>
    <row r="192" spans="1:17" ht="12.75">
      <c r="A192" s="70" t="s">
        <v>64</v>
      </c>
      <c r="B192" s="165"/>
      <c r="C192" s="184">
        <v>7600.8</v>
      </c>
      <c r="D192" s="182">
        <f>100</f>
        <v>100</v>
      </c>
      <c r="E192" s="182"/>
      <c r="F192" s="183">
        <f>C192+D192+E192</f>
        <v>7700.8</v>
      </c>
      <c r="G192" s="228"/>
      <c r="H192" s="7"/>
      <c r="I192" s="51">
        <f>F192+G192+H192</f>
        <v>7700.8</v>
      </c>
      <c r="J192" s="50"/>
      <c r="K192" s="7"/>
      <c r="L192" s="51">
        <f>I192+J192+K192</f>
        <v>7700.8</v>
      </c>
      <c r="M192" s="50"/>
      <c r="N192" s="7"/>
      <c r="O192" s="51">
        <f>L192+M192+N192</f>
        <v>7700.8</v>
      </c>
      <c r="P192" s="129"/>
      <c r="Q192" s="127">
        <f t="shared" si="32"/>
        <v>7700.8</v>
      </c>
    </row>
    <row r="193" spans="1:17" ht="12.75" hidden="1">
      <c r="A193" s="70" t="s">
        <v>95</v>
      </c>
      <c r="B193" s="165"/>
      <c r="C193" s="184"/>
      <c r="D193" s="182"/>
      <c r="E193" s="182"/>
      <c r="F193" s="183">
        <f>C193+D193+E193</f>
        <v>0</v>
      </c>
      <c r="G193" s="228"/>
      <c r="H193" s="7"/>
      <c r="I193" s="51"/>
      <c r="J193" s="50"/>
      <c r="K193" s="7"/>
      <c r="L193" s="51"/>
      <c r="M193" s="50"/>
      <c r="N193" s="7"/>
      <c r="O193" s="51">
        <f>L193+M193+N193</f>
        <v>0</v>
      </c>
      <c r="P193" s="129"/>
      <c r="Q193" s="127">
        <f t="shared" si="32"/>
        <v>0</v>
      </c>
    </row>
    <row r="194" spans="1:17" ht="12.75">
      <c r="A194" s="70" t="s">
        <v>97</v>
      </c>
      <c r="B194" s="165"/>
      <c r="C194" s="184">
        <v>24000</v>
      </c>
      <c r="D194" s="182"/>
      <c r="E194" s="182"/>
      <c r="F194" s="183">
        <f>C194+D194+E194</f>
        <v>24000</v>
      </c>
      <c r="G194" s="228"/>
      <c r="H194" s="7"/>
      <c r="I194" s="51">
        <f>F194+G194+H194</f>
        <v>24000</v>
      </c>
      <c r="J194" s="50"/>
      <c r="K194" s="7"/>
      <c r="L194" s="51">
        <f>I194+J194+K194</f>
        <v>24000</v>
      </c>
      <c r="M194" s="50"/>
      <c r="N194" s="7"/>
      <c r="O194" s="51">
        <f>L194+M194+N194</f>
        <v>24000</v>
      </c>
      <c r="P194" s="129"/>
      <c r="Q194" s="127">
        <f aca="true" t="shared" si="38" ref="Q194:Q209">O194+P194</f>
        <v>24000</v>
      </c>
    </row>
    <row r="195" spans="1:17" ht="12.75">
      <c r="A195" s="77" t="s">
        <v>67</v>
      </c>
      <c r="B195" s="169"/>
      <c r="C195" s="196">
        <f>C200+C197+C198+C199</f>
        <v>2000</v>
      </c>
      <c r="D195" s="197">
        <f>D200+D197+D198+D199</f>
        <v>202740</v>
      </c>
      <c r="E195" s="197">
        <f>E200+E197+E198+E199</f>
        <v>0</v>
      </c>
      <c r="F195" s="198">
        <f>F200+F198+F197+F199</f>
        <v>204740</v>
      </c>
      <c r="G195" s="117"/>
      <c r="H195" s="13"/>
      <c r="I195" s="61" t="e">
        <f>I200+#REF!</f>
        <v>#REF!</v>
      </c>
      <c r="J195" s="60"/>
      <c r="K195" s="117"/>
      <c r="L195" s="61" t="e">
        <f>L200+#REF!</f>
        <v>#REF!</v>
      </c>
      <c r="M195" s="60"/>
      <c r="N195" s="13"/>
      <c r="O195" s="61" t="e">
        <f>O200+#REF!+O197</f>
        <v>#REF!</v>
      </c>
      <c r="P195" s="135"/>
      <c r="Q195" s="120" t="e">
        <f>Q200+#REF!+Q197</f>
        <v>#REF!</v>
      </c>
    </row>
    <row r="196" spans="1:17" ht="12.75">
      <c r="A196" s="68" t="s">
        <v>33</v>
      </c>
      <c r="B196" s="165"/>
      <c r="C196" s="185"/>
      <c r="D196" s="186"/>
      <c r="E196" s="186"/>
      <c r="F196" s="187"/>
      <c r="G196" s="17"/>
      <c r="H196" s="8"/>
      <c r="I196" s="53"/>
      <c r="J196" s="52"/>
      <c r="K196" s="8"/>
      <c r="L196" s="53"/>
      <c r="M196" s="52"/>
      <c r="N196" s="8"/>
      <c r="O196" s="53"/>
      <c r="P196" s="129"/>
      <c r="Q196" s="127"/>
    </row>
    <row r="197" spans="1:17" ht="12.75" hidden="1">
      <c r="A197" s="70" t="s">
        <v>205</v>
      </c>
      <c r="B197" s="165">
        <v>98861</v>
      </c>
      <c r="C197" s="184"/>
      <c r="D197" s="182"/>
      <c r="E197" s="182"/>
      <c r="F197" s="183">
        <f>C197+D197+E197</f>
        <v>0</v>
      </c>
      <c r="G197" s="17"/>
      <c r="H197" s="8"/>
      <c r="I197" s="51"/>
      <c r="J197" s="52"/>
      <c r="K197" s="8"/>
      <c r="L197" s="51"/>
      <c r="M197" s="52"/>
      <c r="N197" s="8"/>
      <c r="O197" s="51">
        <f>L197+M197+N197</f>
        <v>0</v>
      </c>
      <c r="P197" s="129"/>
      <c r="Q197" s="127">
        <f t="shared" si="38"/>
        <v>0</v>
      </c>
    </row>
    <row r="198" spans="1:17" ht="12.75" hidden="1">
      <c r="A198" s="70" t="s">
        <v>292</v>
      </c>
      <c r="B198" s="165">
        <v>7938</v>
      </c>
      <c r="C198" s="184"/>
      <c r="D198" s="182"/>
      <c r="E198" s="182"/>
      <c r="F198" s="183">
        <f>C198+D198+E198</f>
        <v>0</v>
      </c>
      <c r="G198" s="17"/>
      <c r="H198" s="8"/>
      <c r="I198" s="51"/>
      <c r="J198" s="52"/>
      <c r="K198" s="8"/>
      <c r="L198" s="51"/>
      <c r="M198" s="52"/>
      <c r="N198" s="8"/>
      <c r="O198" s="51"/>
      <c r="P198" s="129"/>
      <c r="Q198" s="127"/>
    </row>
    <row r="199" spans="1:17" ht="12.75">
      <c r="A199" s="70" t="s">
        <v>347</v>
      </c>
      <c r="B199" s="165"/>
      <c r="C199" s="184"/>
      <c r="D199" s="182">
        <v>200000</v>
      </c>
      <c r="E199" s="182"/>
      <c r="F199" s="183">
        <f>C199+D199+E199</f>
        <v>200000</v>
      </c>
      <c r="G199" s="17"/>
      <c r="H199" s="8"/>
      <c r="I199" s="51"/>
      <c r="J199" s="52"/>
      <c r="K199" s="8"/>
      <c r="L199" s="51"/>
      <c r="M199" s="52"/>
      <c r="N199" s="8"/>
      <c r="O199" s="51"/>
      <c r="P199" s="129"/>
      <c r="Q199" s="127"/>
    </row>
    <row r="200" spans="1:17" ht="12.75">
      <c r="A200" s="81" t="s">
        <v>68</v>
      </c>
      <c r="B200" s="168"/>
      <c r="C200" s="194">
        <v>2000</v>
      </c>
      <c r="D200" s="195">
        <f>1740+1000</f>
        <v>2740</v>
      </c>
      <c r="E200" s="195"/>
      <c r="F200" s="246">
        <f>C200+D200+E200</f>
        <v>4740</v>
      </c>
      <c r="G200" s="16"/>
      <c r="H200" s="10"/>
      <c r="I200" s="55">
        <f>F200+G200+H200</f>
        <v>4740</v>
      </c>
      <c r="J200" s="54"/>
      <c r="K200" s="10"/>
      <c r="L200" s="55">
        <f>I200+J200+K200</f>
        <v>4740</v>
      </c>
      <c r="M200" s="54"/>
      <c r="N200" s="10"/>
      <c r="O200" s="55">
        <f>L200+M200+N200</f>
        <v>4740</v>
      </c>
      <c r="P200" s="142"/>
      <c r="Q200" s="143">
        <f t="shared" si="38"/>
        <v>4740</v>
      </c>
    </row>
    <row r="201" spans="1:17" ht="12.75">
      <c r="A201" s="67" t="s">
        <v>214</v>
      </c>
      <c r="B201" s="169"/>
      <c r="C201" s="179">
        <f>C202+C216</f>
        <v>3709.3</v>
      </c>
      <c r="D201" s="180">
        <f>D202+D216</f>
        <v>116839.69999999998</v>
      </c>
      <c r="E201" s="180">
        <f>E202+E216</f>
        <v>0</v>
      </c>
      <c r="F201" s="181">
        <f>F202+F216</f>
        <v>120548.99999999999</v>
      </c>
      <c r="G201" s="227"/>
      <c r="H201" s="6"/>
      <c r="I201" s="49" t="e">
        <f>I202+I216</f>
        <v>#REF!</v>
      </c>
      <c r="J201" s="48"/>
      <c r="K201" s="6"/>
      <c r="L201" s="49" t="e">
        <f>L202+L216</f>
        <v>#REF!</v>
      </c>
      <c r="M201" s="48"/>
      <c r="N201" s="6"/>
      <c r="O201" s="49" t="e">
        <f>O202+O216</f>
        <v>#REF!</v>
      </c>
      <c r="P201" s="130"/>
      <c r="Q201" s="107" t="e">
        <f>Q202+Q216</f>
        <v>#REF!</v>
      </c>
    </row>
    <row r="202" spans="1:17" ht="12.75">
      <c r="A202" s="76" t="s">
        <v>62</v>
      </c>
      <c r="B202" s="169"/>
      <c r="C202" s="191">
        <f>SUM(C204:C215)</f>
        <v>3709.3</v>
      </c>
      <c r="D202" s="192">
        <f>SUM(D204:D215)</f>
        <v>20237.68</v>
      </c>
      <c r="E202" s="192">
        <f>SUM(E204:E215)</f>
        <v>0</v>
      </c>
      <c r="F202" s="193">
        <f>SUM(F204:F215)</f>
        <v>23946.979999999996</v>
      </c>
      <c r="G202" s="231"/>
      <c r="H202" s="12"/>
      <c r="I202" s="59" t="e">
        <f>SUM(I204:I210)+#REF!</f>
        <v>#REF!</v>
      </c>
      <c r="J202" s="58"/>
      <c r="K202" s="12"/>
      <c r="L202" s="59" t="e">
        <f>SUM(L204:L210)+#REF!</f>
        <v>#REF!</v>
      </c>
      <c r="M202" s="58"/>
      <c r="N202" s="12"/>
      <c r="O202" s="59" t="e">
        <f>SUM(O204:O210)+#REF!</f>
        <v>#REF!</v>
      </c>
      <c r="P202" s="134"/>
      <c r="Q202" s="108" t="e">
        <f>SUM(Q204:Q210)+#REF!</f>
        <v>#REF!</v>
      </c>
    </row>
    <row r="203" spans="1:17" ht="12.75">
      <c r="A203" s="68" t="s">
        <v>33</v>
      </c>
      <c r="B203" s="165"/>
      <c r="C203" s="185"/>
      <c r="D203" s="186"/>
      <c r="E203" s="186"/>
      <c r="F203" s="187"/>
      <c r="G203" s="17"/>
      <c r="H203" s="8"/>
      <c r="I203" s="53"/>
      <c r="J203" s="52"/>
      <c r="K203" s="8"/>
      <c r="L203" s="53"/>
      <c r="M203" s="52"/>
      <c r="N203" s="8"/>
      <c r="O203" s="53"/>
      <c r="P203" s="129"/>
      <c r="Q203" s="127"/>
    </row>
    <row r="204" spans="1:17" ht="12.75">
      <c r="A204" s="70" t="s">
        <v>64</v>
      </c>
      <c r="B204" s="165"/>
      <c r="C204" s="184">
        <v>1830.7</v>
      </c>
      <c r="D204" s="182"/>
      <c r="E204" s="182"/>
      <c r="F204" s="183">
        <f aca="true" t="shared" si="39" ref="F204:F215">C204+D204+E204</f>
        <v>1830.7</v>
      </c>
      <c r="G204" s="228"/>
      <c r="H204" s="7"/>
      <c r="I204" s="51">
        <f>F204+G204+H204</f>
        <v>1830.7</v>
      </c>
      <c r="J204" s="65"/>
      <c r="K204" s="7"/>
      <c r="L204" s="51">
        <f>I204+J204+K204</f>
        <v>1830.7</v>
      </c>
      <c r="M204" s="65"/>
      <c r="N204" s="7"/>
      <c r="O204" s="51">
        <f>L204+M204+N204</f>
        <v>1830.7</v>
      </c>
      <c r="P204" s="129"/>
      <c r="Q204" s="127">
        <f t="shared" si="38"/>
        <v>1830.7</v>
      </c>
    </row>
    <row r="205" spans="1:17" ht="12.75" hidden="1">
      <c r="A205" s="79" t="s">
        <v>231</v>
      </c>
      <c r="B205" s="165">
        <v>2035</v>
      </c>
      <c r="C205" s="184"/>
      <c r="D205" s="182"/>
      <c r="E205" s="182"/>
      <c r="F205" s="183">
        <f t="shared" si="39"/>
        <v>0</v>
      </c>
      <c r="G205" s="228"/>
      <c r="H205" s="7"/>
      <c r="I205" s="51">
        <f>F205+G205+H205</f>
        <v>0</v>
      </c>
      <c r="J205" s="50"/>
      <c r="K205" s="7"/>
      <c r="L205" s="51">
        <f>I205+J205+K205</f>
        <v>0</v>
      </c>
      <c r="M205" s="50"/>
      <c r="N205" s="7"/>
      <c r="O205" s="51">
        <f>L205+M205+N205</f>
        <v>0</v>
      </c>
      <c r="P205" s="129"/>
      <c r="Q205" s="127">
        <f t="shared" si="38"/>
        <v>0</v>
      </c>
    </row>
    <row r="206" spans="1:17" ht="12.75" hidden="1">
      <c r="A206" s="166" t="s">
        <v>312</v>
      </c>
      <c r="B206" s="165">
        <v>2021</v>
      </c>
      <c r="C206" s="184"/>
      <c r="D206" s="182"/>
      <c r="E206" s="182"/>
      <c r="F206" s="183">
        <f t="shared" si="39"/>
        <v>0</v>
      </c>
      <c r="G206" s="228"/>
      <c r="H206" s="7"/>
      <c r="I206" s="51">
        <f>F206+G206+H206</f>
        <v>0</v>
      </c>
      <c r="J206" s="50"/>
      <c r="K206" s="7"/>
      <c r="L206" s="51">
        <f>I206+J206+K206</f>
        <v>0</v>
      </c>
      <c r="M206" s="50"/>
      <c r="N206" s="7"/>
      <c r="O206" s="51">
        <f>L206+M206+N206</f>
        <v>0</v>
      </c>
      <c r="P206" s="129"/>
      <c r="Q206" s="127">
        <f t="shared" si="38"/>
        <v>0</v>
      </c>
    </row>
    <row r="207" spans="1:17" ht="12.75" hidden="1">
      <c r="A207" s="166" t="s">
        <v>313</v>
      </c>
      <c r="B207" s="165">
        <v>2022</v>
      </c>
      <c r="C207" s="184"/>
      <c r="D207" s="182"/>
      <c r="E207" s="182"/>
      <c r="F207" s="183">
        <f t="shared" si="39"/>
        <v>0</v>
      </c>
      <c r="G207" s="228"/>
      <c r="H207" s="7"/>
      <c r="I207" s="51">
        <f>F207+G207+H207</f>
        <v>0</v>
      </c>
      <c r="J207" s="50"/>
      <c r="K207" s="7"/>
      <c r="L207" s="51">
        <f>I207+J207+K207</f>
        <v>0</v>
      </c>
      <c r="M207" s="50"/>
      <c r="N207" s="7"/>
      <c r="O207" s="51">
        <f>L207+M207+N207</f>
        <v>0</v>
      </c>
      <c r="P207" s="129"/>
      <c r="Q207" s="127">
        <f t="shared" si="38"/>
        <v>0</v>
      </c>
    </row>
    <row r="208" spans="1:17" ht="12.75" hidden="1">
      <c r="A208" s="166" t="s">
        <v>314</v>
      </c>
      <c r="B208" s="165">
        <v>2023</v>
      </c>
      <c r="C208" s="184"/>
      <c r="D208" s="182"/>
      <c r="E208" s="182"/>
      <c r="F208" s="183">
        <f t="shared" si="39"/>
        <v>0</v>
      </c>
      <c r="G208" s="228"/>
      <c r="H208" s="7"/>
      <c r="I208" s="51"/>
      <c r="J208" s="50"/>
      <c r="K208" s="7"/>
      <c r="L208" s="51"/>
      <c r="M208" s="50"/>
      <c r="N208" s="7"/>
      <c r="O208" s="51"/>
      <c r="P208" s="129"/>
      <c r="Q208" s="127"/>
    </row>
    <row r="209" spans="1:17" ht="12.75">
      <c r="A209" s="166" t="s">
        <v>342</v>
      </c>
      <c r="B209" s="165">
        <v>2042</v>
      </c>
      <c r="C209" s="184"/>
      <c r="D209" s="182">
        <f>3462.05</f>
        <v>3462.05</v>
      </c>
      <c r="E209" s="182"/>
      <c r="F209" s="183">
        <f t="shared" si="39"/>
        <v>3462.05</v>
      </c>
      <c r="G209" s="228"/>
      <c r="H209" s="7"/>
      <c r="I209" s="51">
        <f>F209+G209+H209</f>
        <v>3462.05</v>
      </c>
      <c r="J209" s="50"/>
      <c r="K209" s="7"/>
      <c r="L209" s="51">
        <f>I209+J209+K209</f>
        <v>3462.05</v>
      </c>
      <c r="M209" s="50"/>
      <c r="N209" s="7"/>
      <c r="O209" s="51">
        <f>L209+M209+N209</f>
        <v>3462.05</v>
      </c>
      <c r="P209" s="129"/>
      <c r="Q209" s="127">
        <f t="shared" si="38"/>
        <v>3462.05</v>
      </c>
    </row>
    <row r="210" spans="1:17" ht="12.75">
      <c r="A210" s="166" t="s">
        <v>343</v>
      </c>
      <c r="B210" s="165">
        <v>2054</v>
      </c>
      <c r="C210" s="184"/>
      <c r="D210" s="182">
        <v>28.65</v>
      </c>
      <c r="E210" s="182"/>
      <c r="F210" s="183">
        <f t="shared" si="39"/>
        <v>28.65</v>
      </c>
      <c r="G210" s="228"/>
      <c r="H210" s="7"/>
      <c r="I210" s="51"/>
      <c r="J210" s="50"/>
      <c r="K210" s="7"/>
      <c r="L210" s="51"/>
      <c r="M210" s="50"/>
      <c r="N210" s="7"/>
      <c r="O210" s="51"/>
      <c r="P210" s="129"/>
      <c r="Q210" s="127"/>
    </row>
    <row r="211" spans="1:17" ht="12.75">
      <c r="A211" s="166" t="s">
        <v>340</v>
      </c>
      <c r="B211" s="165">
        <v>2045</v>
      </c>
      <c r="C211" s="184"/>
      <c r="D211" s="182">
        <f>5144.59</f>
        <v>5144.59</v>
      </c>
      <c r="E211" s="182"/>
      <c r="F211" s="183">
        <f t="shared" si="39"/>
        <v>5144.59</v>
      </c>
      <c r="G211" s="228"/>
      <c r="H211" s="7"/>
      <c r="I211" s="51"/>
      <c r="J211" s="50"/>
      <c r="K211" s="7"/>
      <c r="L211" s="51"/>
      <c r="M211" s="50"/>
      <c r="N211" s="7"/>
      <c r="O211" s="51"/>
      <c r="P211" s="129"/>
      <c r="Q211" s="127"/>
    </row>
    <row r="212" spans="1:17" ht="12.75">
      <c r="A212" s="166" t="s">
        <v>348</v>
      </c>
      <c r="B212" s="165"/>
      <c r="C212" s="184"/>
      <c r="D212" s="182">
        <v>2252.06</v>
      </c>
      <c r="E212" s="182"/>
      <c r="F212" s="183">
        <f t="shared" si="39"/>
        <v>2252.06</v>
      </c>
      <c r="G212" s="228"/>
      <c r="H212" s="7"/>
      <c r="I212" s="51"/>
      <c r="J212" s="50"/>
      <c r="K212" s="7"/>
      <c r="L212" s="51"/>
      <c r="M212" s="50"/>
      <c r="N212" s="7"/>
      <c r="O212" s="51"/>
      <c r="P212" s="129"/>
      <c r="Q212" s="127"/>
    </row>
    <row r="213" spans="1:17" ht="12.75">
      <c r="A213" s="166" t="s">
        <v>344</v>
      </c>
      <c r="B213" s="165">
        <v>2057</v>
      </c>
      <c r="C213" s="184"/>
      <c r="D213" s="182">
        <v>931.4</v>
      </c>
      <c r="E213" s="182"/>
      <c r="F213" s="183">
        <f t="shared" si="39"/>
        <v>931.4</v>
      </c>
      <c r="G213" s="228"/>
      <c r="H213" s="7"/>
      <c r="I213" s="51"/>
      <c r="J213" s="50"/>
      <c r="K213" s="7"/>
      <c r="L213" s="51"/>
      <c r="M213" s="50"/>
      <c r="N213" s="7"/>
      <c r="O213" s="51"/>
      <c r="P213" s="129"/>
      <c r="Q213" s="127"/>
    </row>
    <row r="214" spans="1:17" ht="12.75">
      <c r="A214" s="166" t="s">
        <v>283</v>
      </c>
      <c r="B214" s="165">
        <v>2057</v>
      </c>
      <c r="C214" s="184"/>
      <c r="D214" s="182">
        <f>2135.38</f>
        <v>2135.38</v>
      </c>
      <c r="E214" s="182"/>
      <c r="F214" s="183">
        <f t="shared" si="39"/>
        <v>2135.38</v>
      </c>
      <c r="G214" s="228"/>
      <c r="H214" s="7"/>
      <c r="I214" s="51"/>
      <c r="J214" s="50"/>
      <c r="K214" s="7"/>
      <c r="L214" s="51"/>
      <c r="M214" s="50"/>
      <c r="N214" s="7"/>
      <c r="O214" s="51"/>
      <c r="P214" s="129"/>
      <c r="Q214" s="127"/>
    </row>
    <row r="215" spans="1:17" ht="12.75">
      <c r="A215" s="70" t="s">
        <v>95</v>
      </c>
      <c r="B215" s="165"/>
      <c r="C215" s="184">
        <v>1878.6</v>
      </c>
      <c r="D215" s="182">
        <f>250+850+180.5+2679.5+300+345+653.28+584.31+440.96</f>
        <v>6283.55</v>
      </c>
      <c r="E215" s="182"/>
      <c r="F215" s="183">
        <f t="shared" si="39"/>
        <v>8162.15</v>
      </c>
      <c r="G215" s="228"/>
      <c r="H215" s="7"/>
      <c r="I215" s="51"/>
      <c r="J215" s="50"/>
      <c r="K215" s="7"/>
      <c r="L215" s="51"/>
      <c r="M215" s="50"/>
      <c r="N215" s="7"/>
      <c r="O215" s="51"/>
      <c r="P215" s="129"/>
      <c r="Q215" s="127"/>
    </row>
    <row r="216" spans="1:17" ht="12.75">
      <c r="A216" s="77" t="s">
        <v>67</v>
      </c>
      <c r="B216" s="169"/>
      <c r="C216" s="196">
        <f>SUM(C218:C222)</f>
        <v>0</v>
      </c>
      <c r="D216" s="197">
        <f>SUM(D218:D222)</f>
        <v>96602.01999999999</v>
      </c>
      <c r="E216" s="197">
        <f>SUM(E218:E222)</f>
        <v>0</v>
      </c>
      <c r="F216" s="198">
        <f>SUM(F218:F222)</f>
        <v>96602.01999999999</v>
      </c>
      <c r="G216" s="117"/>
      <c r="H216" s="13"/>
      <c r="I216" s="61">
        <f>SUM(I218:I222)</f>
        <v>42924.35</v>
      </c>
      <c r="J216" s="60"/>
      <c r="K216" s="13"/>
      <c r="L216" s="61">
        <f>SUM(L218:L222)</f>
        <v>42924.35</v>
      </c>
      <c r="M216" s="60"/>
      <c r="N216" s="13"/>
      <c r="O216" s="61">
        <f>SUM(O218:O222)</f>
        <v>42924.35</v>
      </c>
      <c r="P216" s="135"/>
      <c r="Q216" s="120">
        <f>SUM(Q218:Q222)</f>
        <v>42924.35</v>
      </c>
    </row>
    <row r="217" spans="1:17" ht="12.75">
      <c r="A217" s="79" t="s">
        <v>33</v>
      </c>
      <c r="B217" s="165"/>
      <c r="C217" s="184"/>
      <c r="D217" s="182"/>
      <c r="E217" s="182"/>
      <c r="F217" s="183"/>
      <c r="G217" s="228"/>
      <c r="H217" s="7"/>
      <c r="I217" s="51"/>
      <c r="J217" s="50"/>
      <c r="K217" s="7"/>
      <c r="L217" s="51"/>
      <c r="M217" s="50"/>
      <c r="N217" s="7"/>
      <c r="O217" s="51"/>
      <c r="P217" s="129"/>
      <c r="Q217" s="127"/>
    </row>
    <row r="218" spans="1:17" ht="12.75">
      <c r="A218" s="166" t="s">
        <v>344</v>
      </c>
      <c r="B218" s="165">
        <v>2057</v>
      </c>
      <c r="C218" s="184"/>
      <c r="D218" s="182">
        <v>42924.35</v>
      </c>
      <c r="E218" s="182"/>
      <c r="F218" s="183">
        <f>C218+D218+E218</f>
        <v>42924.35</v>
      </c>
      <c r="G218" s="228"/>
      <c r="H218" s="7"/>
      <c r="I218" s="51">
        <f>F218+G218+H218</f>
        <v>42924.35</v>
      </c>
      <c r="J218" s="50"/>
      <c r="K218" s="7"/>
      <c r="L218" s="51">
        <f>I218+J218+K218</f>
        <v>42924.35</v>
      </c>
      <c r="M218" s="50"/>
      <c r="N218" s="7"/>
      <c r="O218" s="51">
        <f>L218+M218+N218</f>
        <v>42924.35</v>
      </c>
      <c r="P218" s="129"/>
      <c r="Q218" s="127">
        <f aca="true" t="shared" si="40" ref="Q218:Q266">O218+P218</f>
        <v>42924.35</v>
      </c>
    </row>
    <row r="219" spans="1:17" ht="12.75">
      <c r="A219" s="273" t="s">
        <v>283</v>
      </c>
      <c r="B219" s="168">
        <v>2057</v>
      </c>
      <c r="C219" s="194"/>
      <c r="D219" s="195">
        <f>53677.67</f>
        <v>53677.67</v>
      </c>
      <c r="E219" s="195"/>
      <c r="F219" s="246">
        <f>C219+D219+E219</f>
        <v>53677.67</v>
      </c>
      <c r="G219" s="228"/>
      <c r="H219" s="7"/>
      <c r="I219" s="51"/>
      <c r="J219" s="50"/>
      <c r="K219" s="7"/>
      <c r="L219" s="51"/>
      <c r="M219" s="50"/>
      <c r="N219" s="7"/>
      <c r="O219" s="51"/>
      <c r="P219" s="129"/>
      <c r="Q219" s="127"/>
    </row>
    <row r="220" spans="1:17" ht="12.75" hidden="1">
      <c r="A220" s="70" t="s">
        <v>83</v>
      </c>
      <c r="B220" s="165"/>
      <c r="C220" s="184"/>
      <c r="D220" s="182"/>
      <c r="E220" s="182"/>
      <c r="F220" s="183">
        <f>C220+D220+E220</f>
        <v>0</v>
      </c>
      <c r="G220" s="228"/>
      <c r="H220" s="7"/>
      <c r="I220" s="51">
        <f>F220+G220+H220</f>
        <v>0</v>
      </c>
      <c r="J220" s="50"/>
      <c r="K220" s="7"/>
      <c r="L220" s="51">
        <f>I220+J220+K220</f>
        <v>0</v>
      </c>
      <c r="M220" s="50"/>
      <c r="N220" s="7"/>
      <c r="O220" s="51">
        <f>L220+M220+N220</f>
        <v>0</v>
      </c>
      <c r="P220" s="129"/>
      <c r="Q220" s="127">
        <f t="shared" si="40"/>
        <v>0</v>
      </c>
    </row>
    <row r="221" spans="1:17" ht="12.75" hidden="1">
      <c r="A221" s="73" t="s">
        <v>68</v>
      </c>
      <c r="B221" s="168"/>
      <c r="C221" s="194"/>
      <c r="D221" s="195"/>
      <c r="E221" s="195"/>
      <c r="F221" s="246">
        <f>C221+D221+E221</f>
        <v>0</v>
      </c>
      <c r="G221" s="228"/>
      <c r="H221" s="7"/>
      <c r="I221" s="51">
        <f>F221+G221+H221</f>
        <v>0</v>
      </c>
      <c r="J221" s="50"/>
      <c r="K221" s="7"/>
      <c r="L221" s="51">
        <f>I221+J221+K221</f>
        <v>0</v>
      </c>
      <c r="M221" s="50"/>
      <c r="N221" s="7"/>
      <c r="O221" s="51">
        <f>L221+M221+N221</f>
        <v>0</v>
      </c>
      <c r="P221" s="129"/>
      <c r="Q221" s="127">
        <f t="shared" si="40"/>
        <v>0</v>
      </c>
    </row>
    <row r="222" spans="1:17" ht="12.75" hidden="1">
      <c r="A222" s="73" t="s">
        <v>95</v>
      </c>
      <c r="B222" s="168"/>
      <c r="C222" s="194"/>
      <c r="D222" s="195"/>
      <c r="E222" s="195"/>
      <c r="F222" s="246">
        <f>C222+D222+E222</f>
        <v>0</v>
      </c>
      <c r="G222" s="16"/>
      <c r="H222" s="10"/>
      <c r="I222" s="55">
        <f>F222+G222+H222</f>
        <v>0</v>
      </c>
      <c r="J222" s="54"/>
      <c r="K222" s="10"/>
      <c r="L222" s="55">
        <f>I222+J222+K222</f>
        <v>0</v>
      </c>
      <c r="M222" s="54"/>
      <c r="N222" s="10"/>
      <c r="O222" s="55">
        <f>L222+M222+N222</f>
        <v>0</v>
      </c>
      <c r="P222" s="142"/>
      <c r="Q222" s="143">
        <f t="shared" si="40"/>
        <v>0</v>
      </c>
    </row>
    <row r="223" spans="1:17" ht="12.75">
      <c r="A223" s="67" t="s">
        <v>100</v>
      </c>
      <c r="B223" s="169"/>
      <c r="C223" s="179">
        <f>C224+C260</f>
        <v>353164.7</v>
      </c>
      <c r="D223" s="180">
        <f>D224+D260</f>
        <v>5181401.79</v>
      </c>
      <c r="E223" s="180">
        <f>E224+E260</f>
        <v>0</v>
      </c>
      <c r="F223" s="181">
        <f>F224+F260</f>
        <v>5534566.49</v>
      </c>
      <c r="G223" s="227"/>
      <c r="H223" s="6"/>
      <c r="I223" s="49">
        <f>I224+I260</f>
        <v>5516651.34</v>
      </c>
      <c r="J223" s="48"/>
      <c r="K223" s="6"/>
      <c r="L223" s="49">
        <f>L224+L260</f>
        <v>5516651.34</v>
      </c>
      <c r="M223" s="48"/>
      <c r="N223" s="6"/>
      <c r="O223" s="49">
        <f>O224+O260</f>
        <v>5516651.34</v>
      </c>
      <c r="P223" s="130"/>
      <c r="Q223" s="107">
        <f>Q224+Q260</f>
        <v>5516651.34</v>
      </c>
    </row>
    <row r="224" spans="1:17" ht="12.75">
      <c r="A224" s="76" t="s">
        <v>62</v>
      </c>
      <c r="B224" s="169"/>
      <c r="C224" s="191">
        <f>SUM(C226:C259)</f>
        <v>353164.7</v>
      </c>
      <c r="D224" s="192">
        <f>SUM(D226:D259)</f>
        <v>5181269.49</v>
      </c>
      <c r="E224" s="192">
        <f>SUM(E226:E259)</f>
        <v>0</v>
      </c>
      <c r="F224" s="193">
        <f>SUM(F226:F259)</f>
        <v>5534434.19</v>
      </c>
      <c r="G224" s="231"/>
      <c r="H224" s="12"/>
      <c r="I224" s="59">
        <f>SUM(I226:I259)</f>
        <v>5516519.04</v>
      </c>
      <c r="J224" s="58"/>
      <c r="K224" s="12"/>
      <c r="L224" s="59">
        <f>SUM(L226:L259)</f>
        <v>5516519.04</v>
      </c>
      <c r="M224" s="58"/>
      <c r="N224" s="12"/>
      <c r="O224" s="59">
        <f>SUM(O226:O259)</f>
        <v>5516519.04</v>
      </c>
      <c r="P224" s="134"/>
      <c r="Q224" s="108">
        <f>SUM(Q226:Q259)</f>
        <v>5516519.04</v>
      </c>
    </row>
    <row r="225" spans="1:17" ht="12.75">
      <c r="A225" s="68" t="s">
        <v>33</v>
      </c>
      <c r="B225" s="165"/>
      <c r="C225" s="184"/>
      <c r="D225" s="182"/>
      <c r="E225" s="182"/>
      <c r="F225" s="183"/>
      <c r="G225" s="228"/>
      <c r="H225" s="7"/>
      <c r="I225" s="51"/>
      <c r="J225" s="50"/>
      <c r="K225" s="7"/>
      <c r="L225" s="51"/>
      <c r="M225" s="50"/>
      <c r="N225" s="7"/>
      <c r="O225" s="51"/>
      <c r="P225" s="129"/>
      <c r="Q225" s="127"/>
    </row>
    <row r="226" spans="1:17" ht="12.75">
      <c r="A226" s="74" t="s">
        <v>91</v>
      </c>
      <c r="B226" s="165"/>
      <c r="C226" s="184">
        <v>324459.7</v>
      </c>
      <c r="D226" s="182">
        <f>1304+13289+1026+600</f>
        <v>16219</v>
      </c>
      <c r="E226" s="182"/>
      <c r="F226" s="183">
        <f aca="true" t="shared" si="41" ref="F226:F259">C226+D226+E226</f>
        <v>340678.7</v>
      </c>
      <c r="G226" s="228"/>
      <c r="H226" s="7"/>
      <c r="I226" s="51">
        <f>F226+G226+H226</f>
        <v>340678.7</v>
      </c>
      <c r="J226" s="50"/>
      <c r="K226" s="7"/>
      <c r="L226" s="51">
        <f>I226+J226+K226</f>
        <v>340678.7</v>
      </c>
      <c r="M226" s="50"/>
      <c r="N226" s="7"/>
      <c r="O226" s="51">
        <f>L226+M226+N226</f>
        <v>340678.7</v>
      </c>
      <c r="P226" s="129"/>
      <c r="Q226" s="127">
        <f t="shared" si="40"/>
        <v>340678.7</v>
      </c>
    </row>
    <row r="227" spans="1:17" ht="12.75">
      <c r="A227" s="74" t="s">
        <v>310</v>
      </c>
      <c r="B227" s="165"/>
      <c r="C227" s="184"/>
      <c r="D227" s="182"/>
      <c r="E227" s="182"/>
      <c r="F227" s="183"/>
      <c r="G227" s="228"/>
      <c r="H227" s="7"/>
      <c r="I227" s="51"/>
      <c r="J227" s="50"/>
      <c r="K227" s="7"/>
      <c r="L227" s="51"/>
      <c r="M227" s="50"/>
      <c r="N227" s="7"/>
      <c r="O227" s="51"/>
      <c r="P227" s="129"/>
      <c r="Q227" s="127"/>
    </row>
    <row r="228" spans="1:17" ht="12.75">
      <c r="A228" s="74" t="s">
        <v>101</v>
      </c>
      <c r="B228" s="165">
        <v>33353</v>
      </c>
      <c r="C228" s="184"/>
      <c r="D228" s="199">
        <v>1585037.69</v>
      </c>
      <c r="E228" s="182"/>
      <c r="F228" s="183">
        <f t="shared" si="41"/>
        <v>1585037.69</v>
      </c>
      <c r="G228" s="228"/>
      <c r="H228" s="7"/>
      <c r="I228" s="51">
        <f aca="true" t="shared" si="42" ref="I228:I259">F228+G228+H228</f>
        <v>1585037.69</v>
      </c>
      <c r="J228" s="50"/>
      <c r="K228" s="7"/>
      <c r="L228" s="51">
        <f aca="true" t="shared" si="43" ref="L228:L259">I228+J228+K228</f>
        <v>1585037.69</v>
      </c>
      <c r="M228" s="50"/>
      <c r="N228" s="7"/>
      <c r="O228" s="51">
        <f aca="true" t="shared" si="44" ref="O228:O259">L228+M228+N228</f>
        <v>1585037.69</v>
      </c>
      <c r="P228" s="129"/>
      <c r="Q228" s="127">
        <f t="shared" si="40"/>
        <v>1585037.69</v>
      </c>
    </row>
    <row r="229" spans="1:17" ht="12.75">
      <c r="A229" s="74" t="s">
        <v>103</v>
      </c>
      <c r="B229" s="165">
        <v>33353</v>
      </c>
      <c r="C229" s="184"/>
      <c r="D229" s="182">
        <v>3460930.97</v>
      </c>
      <c r="E229" s="182"/>
      <c r="F229" s="183">
        <f t="shared" si="41"/>
        <v>3460930.97</v>
      </c>
      <c r="G229" s="228"/>
      <c r="H229" s="7"/>
      <c r="I229" s="51">
        <f t="shared" si="42"/>
        <v>3460930.97</v>
      </c>
      <c r="J229" s="50"/>
      <c r="K229" s="7"/>
      <c r="L229" s="51">
        <f t="shared" si="43"/>
        <v>3460930.97</v>
      </c>
      <c r="M229" s="50"/>
      <c r="N229" s="7"/>
      <c r="O229" s="51">
        <f t="shared" si="44"/>
        <v>3460930.97</v>
      </c>
      <c r="P229" s="129"/>
      <c r="Q229" s="127">
        <f t="shared" si="40"/>
        <v>3460930.97</v>
      </c>
    </row>
    <row r="230" spans="1:17" ht="12.75">
      <c r="A230" s="74" t="s">
        <v>102</v>
      </c>
      <c r="B230" s="165">
        <v>33155</v>
      </c>
      <c r="C230" s="184"/>
      <c r="D230" s="199">
        <f>61775.7</f>
        <v>61775.7</v>
      </c>
      <c r="E230" s="182"/>
      <c r="F230" s="183">
        <f t="shared" si="41"/>
        <v>61775.7</v>
      </c>
      <c r="G230" s="228"/>
      <c r="H230" s="7"/>
      <c r="I230" s="51">
        <f t="shared" si="42"/>
        <v>61775.7</v>
      </c>
      <c r="J230" s="50"/>
      <c r="K230" s="7"/>
      <c r="L230" s="51">
        <f t="shared" si="43"/>
        <v>61775.7</v>
      </c>
      <c r="M230" s="50"/>
      <c r="N230" s="7"/>
      <c r="O230" s="51">
        <f t="shared" si="44"/>
        <v>61775.7</v>
      </c>
      <c r="P230" s="129"/>
      <c r="Q230" s="127">
        <f t="shared" si="40"/>
        <v>61775.7</v>
      </c>
    </row>
    <row r="231" spans="1:17" ht="12.75" hidden="1">
      <c r="A231" s="74" t="s">
        <v>104</v>
      </c>
      <c r="B231" s="165" t="s">
        <v>289</v>
      </c>
      <c r="C231" s="184"/>
      <c r="D231" s="182"/>
      <c r="E231" s="182"/>
      <c r="F231" s="183">
        <f t="shared" si="41"/>
        <v>0</v>
      </c>
      <c r="G231" s="228"/>
      <c r="H231" s="7"/>
      <c r="I231" s="51">
        <f t="shared" si="42"/>
        <v>0</v>
      </c>
      <c r="J231" s="50"/>
      <c r="K231" s="7"/>
      <c r="L231" s="51">
        <f t="shared" si="43"/>
        <v>0</v>
      </c>
      <c r="M231" s="50"/>
      <c r="N231" s="7"/>
      <c r="O231" s="51">
        <f t="shared" si="44"/>
        <v>0</v>
      </c>
      <c r="P231" s="129"/>
      <c r="Q231" s="127">
        <f t="shared" si="40"/>
        <v>0</v>
      </c>
    </row>
    <row r="232" spans="1:17" ht="12.75" hidden="1">
      <c r="A232" s="74" t="s">
        <v>105</v>
      </c>
      <c r="B232" s="165"/>
      <c r="C232" s="184"/>
      <c r="D232" s="182"/>
      <c r="E232" s="182"/>
      <c r="F232" s="183">
        <f t="shared" si="41"/>
        <v>0</v>
      </c>
      <c r="G232" s="228"/>
      <c r="H232" s="7"/>
      <c r="I232" s="51">
        <f t="shared" si="42"/>
        <v>0</v>
      </c>
      <c r="J232" s="50"/>
      <c r="K232" s="7"/>
      <c r="L232" s="51">
        <f t="shared" si="43"/>
        <v>0</v>
      </c>
      <c r="M232" s="50"/>
      <c r="N232" s="7"/>
      <c r="O232" s="51">
        <f t="shared" si="44"/>
        <v>0</v>
      </c>
      <c r="P232" s="129"/>
      <c r="Q232" s="127">
        <f t="shared" si="40"/>
        <v>0</v>
      </c>
    </row>
    <row r="233" spans="1:17" ht="12.75" hidden="1">
      <c r="A233" s="74" t="s">
        <v>195</v>
      </c>
      <c r="B233" s="165"/>
      <c r="C233" s="184"/>
      <c r="D233" s="182"/>
      <c r="E233" s="182"/>
      <c r="F233" s="183">
        <f t="shared" si="41"/>
        <v>0</v>
      </c>
      <c r="G233" s="228"/>
      <c r="H233" s="7"/>
      <c r="I233" s="51">
        <f t="shared" si="42"/>
        <v>0</v>
      </c>
      <c r="J233" s="50"/>
      <c r="K233" s="7"/>
      <c r="L233" s="51">
        <f t="shared" si="43"/>
        <v>0</v>
      </c>
      <c r="M233" s="50"/>
      <c r="N233" s="7"/>
      <c r="O233" s="51">
        <f t="shared" si="44"/>
        <v>0</v>
      </c>
      <c r="P233" s="129"/>
      <c r="Q233" s="127">
        <f t="shared" si="40"/>
        <v>0</v>
      </c>
    </row>
    <row r="234" spans="1:17" ht="12.75" hidden="1">
      <c r="A234" s="74" t="s">
        <v>106</v>
      </c>
      <c r="B234" s="165"/>
      <c r="C234" s="184"/>
      <c r="D234" s="182"/>
      <c r="E234" s="182"/>
      <c r="F234" s="183">
        <f t="shared" si="41"/>
        <v>0</v>
      </c>
      <c r="G234" s="228"/>
      <c r="H234" s="7"/>
      <c r="I234" s="51">
        <f t="shared" si="42"/>
        <v>0</v>
      </c>
      <c r="J234" s="50"/>
      <c r="K234" s="7"/>
      <c r="L234" s="51">
        <f t="shared" si="43"/>
        <v>0</v>
      </c>
      <c r="M234" s="50"/>
      <c r="N234" s="7"/>
      <c r="O234" s="51">
        <f t="shared" si="44"/>
        <v>0</v>
      </c>
      <c r="P234" s="129"/>
      <c r="Q234" s="127">
        <f t="shared" si="40"/>
        <v>0</v>
      </c>
    </row>
    <row r="235" spans="1:17" ht="12.75" hidden="1">
      <c r="A235" s="74" t="s">
        <v>165</v>
      </c>
      <c r="B235" s="165"/>
      <c r="C235" s="184"/>
      <c r="D235" s="182"/>
      <c r="E235" s="182"/>
      <c r="F235" s="183">
        <f t="shared" si="41"/>
        <v>0</v>
      </c>
      <c r="G235" s="228"/>
      <c r="H235" s="7"/>
      <c r="I235" s="51">
        <f t="shared" si="42"/>
        <v>0</v>
      </c>
      <c r="J235" s="50"/>
      <c r="K235" s="7"/>
      <c r="L235" s="51">
        <f t="shared" si="43"/>
        <v>0</v>
      </c>
      <c r="M235" s="50"/>
      <c r="N235" s="7"/>
      <c r="O235" s="51">
        <f t="shared" si="44"/>
        <v>0</v>
      </c>
      <c r="P235" s="129"/>
      <c r="Q235" s="127">
        <f t="shared" si="40"/>
        <v>0</v>
      </c>
    </row>
    <row r="236" spans="1:17" ht="12.75">
      <c r="A236" s="74" t="s">
        <v>284</v>
      </c>
      <c r="B236" s="165">
        <v>33215</v>
      </c>
      <c r="C236" s="184"/>
      <c r="D236" s="182">
        <f>8587.89</f>
        <v>8587.89</v>
      </c>
      <c r="E236" s="182"/>
      <c r="F236" s="183">
        <f t="shared" si="41"/>
        <v>8587.89</v>
      </c>
      <c r="G236" s="228"/>
      <c r="H236" s="7"/>
      <c r="I236" s="51">
        <f t="shared" si="42"/>
        <v>8587.89</v>
      </c>
      <c r="J236" s="50"/>
      <c r="K236" s="7"/>
      <c r="L236" s="51">
        <f t="shared" si="43"/>
        <v>8587.89</v>
      </c>
      <c r="M236" s="50"/>
      <c r="N236" s="7"/>
      <c r="O236" s="51">
        <f t="shared" si="44"/>
        <v>8587.89</v>
      </c>
      <c r="P236" s="129"/>
      <c r="Q236" s="127">
        <f t="shared" si="40"/>
        <v>8587.89</v>
      </c>
    </row>
    <row r="237" spans="1:17" ht="12.75">
      <c r="A237" s="74" t="s">
        <v>285</v>
      </c>
      <c r="B237" s="165">
        <v>33457</v>
      </c>
      <c r="C237" s="184"/>
      <c r="D237" s="182">
        <f>7762.19</f>
        <v>7762.19</v>
      </c>
      <c r="E237" s="182"/>
      <c r="F237" s="183">
        <f t="shared" si="41"/>
        <v>7762.19</v>
      </c>
      <c r="G237" s="228"/>
      <c r="H237" s="7"/>
      <c r="I237" s="51">
        <f t="shared" si="42"/>
        <v>7762.19</v>
      </c>
      <c r="J237" s="50"/>
      <c r="K237" s="7"/>
      <c r="L237" s="51">
        <f t="shared" si="43"/>
        <v>7762.19</v>
      </c>
      <c r="M237" s="50"/>
      <c r="N237" s="7"/>
      <c r="O237" s="51">
        <f t="shared" si="44"/>
        <v>7762.19</v>
      </c>
      <c r="P237" s="129"/>
      <c r="Q237" s="127">
        <f t="shared" si="40"/>
        <v>7762.19</v>
      </c>
    </row>
    <row r="238" spans="1:17" ht="12.75" hidden="1">
      <c r="A238" s="92" t="s">
        <v>258</v>
      </c>
      <c r="B238" s="165">
        <v>33052</v>
      </c>
      <c r="C238" s="184"/>
      <c r="D238" s="182"/>
      <c r="E238" s="182"/>
      <c r="F238" s="183">
        <f t="shared" si="41"/>
        <v>0</v>
      </c>
      <c r="G238" s="228"/>
      <c r="H238" s="7"/>
      <c r="I238" s="51">
        <f t="shared" si="42"/>
        <v>0</v>
      </c>
      <c r="J238" s="50"/>
      <c r="K238" s="7"/>
      <c r="L238" s="51">
        <f t="shared" si="43"/>
        <v>0</v>
      </c>
      <c r="M238" s="50"/>
      <c r="N238" s="7"/>
      <c r="O238" s="51">
        <f t="shared" si="44"/>
        <v>0</v>
      </c>
      <c r="P238" s="129"/>
      <c r="Q238" s="127">
        <f t="shared" si="40"/>
        <v>0</v>
      </c>
    </row>
    <row r="239" spans="1:17" ht="12.75">
      <c r="A239" s="92" t="s">
        <v>311</v>
      </c>
      <c r="B239" s="165">
        <v>33069</v>
      </c>
      <c r="C239" s="184"/>
      <c r="D239" s="182">
        <f>8921.07</f>
        <v>8921.07</v>
      </c>
      <c r="E239" s="182"/>
      <c r="F239" s="183">
        <f t="shared" si="41"/>
        <v>8921.07</v>
      </c>
      <c r="G239" s="228"/>
      <c r="H239" s="7"/>
      <c r="I239" s="51"/>
      <c r="J239" s="50"/>
      <c r="K239" s="7"/>
      <c r="L239" s="51"/>
      <c r="M239" s="50"/>
      <c r="N239" s="7"/>
      <c r="O239" s="51"/>
      <c r="P239" s="129"/>
      <c r="Q239" s="127"/>
    </row>
    <row r="240" spans="1:17" ht="12.75" hidden="1">
      <c r="A240" s="92" t="s">
        <v>190</v>
      </c>
      <c r="B240" s="165"/>
      <c r="C240" s="184"/>
      <c r="D240" s="182"/>
      <c r="E240" s="182"/>
      <c r="F240" s="183">
        <f t="shared" si="41"/>
        <v>0</v>
      </c>
      <c r="G240" s="228"/>
      <c r="H240" s="7"/>
      <c r="I240" s="51">
        <f t="shared" si="42"/>
        <v>0</v>
      </c>
      <c r="J240" s="50"/>
      <c r="K240" s="7"/>
      <c r="L240" s="51">
        <f t="shared" si="43"/>
        <v>0</v>
      </c>
      <c r="M240" s="50"/>
      <c r="N240" s="7"/>
      <c r="O240" s="51">
        <f t="shared" si="44"/>
        <v>0</v>
      </c>
      <c r="P240" s="129"/>
      <c r="Q240" s="127">
        <f t="shared" si="40"/>
        <v>0</v>
      </c>
    </row>
    <row r="241" spans="1:17" ht="12.75">
      <c r="A241" s="74" t="s">
        <v>259</v>
      </c>
      <c r="B241" s="165">
        <v>33050</v>
      </c>
      <c r="C241" s="184"/>
      <c r="D241" s="182">
        <f>149.6</f>
        <v>149.6</v>
      </c>
      <c r="E241" s="182"/>
      <c r="F241" s="183">
        <f t="shared" si="41"/>
        <v>149.6</v>
      </c>
      <c r="G241" s="228"/>
      <c r="H241" s="7"/>
      <c r="I241" s="51"/>
      <c r="J241" s="50"/>
      <c r="K241" s="7"/>
      <c r="L241" s="51">
        <f t="shared" si="43"/>
        <v>0</v>
      </c>
      <c r="M241" s="50"/>
      <c r="N241" s="7"/>
      <c r="O241" s="51">
        <f t="shared" si="44"/>
        <v>0</v>
      </c>
      <c r="P241" s="129"/>
      <c r="Q241" s="127">
        <f t="shared" si="40"/>
        <v>0</v>
      </c>
    </row>
    <row r="242" spans="1:17" ht="12.75">
      <c r="A242" s="74" t="s">
        <v>189</v>
      </c>
      <c r="B242" s="165">
        <v>33435</v>
      </c>
      <c r="C242" s="184"/>
      <c r="D242" s="182">
        <f>984</f>
        <v>984</v>
      </c>
      <c r="E242" s="182"/>
      <c r="F242" s="183">
        <f t="shared" si="41"/>
        <v>984</v>
      </c>
      <c r="G242" s="228"/>
      <c r="H242" s="7"/>
      <c r="I242" s="51">
        <f t="shared" si="42"/>
        <v>984</v>
      </c>
      <c r="J242" s="50"/>
      <c r="K242" s="7"/>
      <c r="L242" s="51">
        <f t="shared" si="43"/>
        <v>984</v>
      </c>
      <c r="M242" s="50"/>
      <c r="N242" s="7"/>
      <c r="O242" s="51">
        <f t="shared" si="44"/>
        <v>984</v>
      </c>
      <c r="P242" s="129"/>
      <c r="Q242" s="127">
        <f t="shared" si="40"/>
        <v>984</v>
      </c>
    </row>
    <row r="243" spans="1:17" ht="12.75">
      <c r="A243" s="74" t="s">
        <v>293</v>
      </c>
      <c r="B243" s="165">
        <v>33049</v>
      </c>
      <c r="C243" s="184"/>
      <c r="D243" s="182">
        <f>8844.48</f>
        <v>8844.48</v>
      </c>
      <c r="E243" s="182"/>
      <c r="F243" s="183">
        <f t="shared" si="41"/>
        <v>8844.48</v>
      </c>
      <c r="G243" s="228"/>
      <c r="H243" s="7"/>
      <c r="I243" s="51"/>
      <c r="J243" s="50"/>
      <c r="K243" s="7"/>
      <c r="L243" s="51"/>
      <c r="M243" s="50"/>
      <c r="N243" s="7"/>
      <c r="O243" s="51"/>
      <c r="P243" s="129"/>
      <c r="Q243" s="127"/>
    </row>
    <row r="244" spans="1:17" ht="12.75" hidden="1">
      <c r="A244" s="74" t="s">
        <v>260</v>
      </c>
      <c r="B244" s="165">
        <v>33044</v>
      </c>
      <c r="C244" s="184"/>
      <c r="D244" s="182"/>
      <c r="E244" s="182"/>
      <c r="F244" s="183">
        <f t="shared" si="41"/>
        <v>0</v>
      </c>
      <c r="G244" s="228"/>
      <c r="H244" s="7"/>
      <c r="I244" s="51"/>
      <c r="J244" s="50"/>
      <c r="K244" s="7"/>
      <c r="L244" s="51">
        <f t="shared" si="43"/>
        <v>0</v>
      </c>
      <c r="M244" s="50"/>
      <c r="N244" s="7"/>
      <c r="O244" s="51">
        <f t="shared" si="44"/>
        <v>0</v>
      </c>
      <c r="P244" s="129"/>
      <c r="Q244" s="127">
        <f t="shared" si="40"/>
        <v>0</v>
      </c>
    </row>
    <row r="245" spans="1:17" ht="12.75" hidden="1">
      <c r="A245" s="74" t="s">
        <v>267</v>
      </c>
      <c r="B245" s="165">
        <v>33024</v>
      </c>
      <c r="C245" s="184"/>
      <c r="D245" s="182"/>
      <c r="E245" s="182"/>
      <c r="F245" s="183">
        <f t="shared" si="41"/>
        <v>0</v>
      </c>
      <c r="G245" s="228"/>
      <c r="H245" s="7"/>
      <c r="I245" s="51"/>
      <c r="J245" s="50"/>
      <c r="K245" s="7"/>
      <c r="L245" s="51"/>
      <c r="M245" s="50"/>
      <c r="N245" s="7"/>
      <c r="O245" s="51"/>
      <c r="P245" s="129"/>
      <c r="Q245" s="127"/>
    </row>
    <row r="246" spans="1:17" ht="12.75" hidden="1">
      <c r="A246" s="92" t="s">
        <v>199</v>
      </c>
      <c r="B246" s="165">
        <v>33018</v>
      </c>
      <c r="C246" s="184"/>
      <c r="D246" s="182"/>
      <c r="E246" s="182"/>
      <c r="F246" s="183">
        <f t="shared" si="41"/>
        <v>0</v>
      </c>
      <c r="G246" s="228"/>
      <c r="H246" s="7"/>
      <c r="I246" s="51"/>
      <c r="J246" s="50"/>
      <c r="K246" s="7"/>
      <c r="L246" s="51">
        <f t="shared" si="43"/>
        <v>0</v>
      </c>
      <c r="M246" s="50"/>
      <c r="N246" s="7"/>
      <c r="O246" s="51">
        <f t="shared" si="44"/>
        <v>0</v>
      </c>
      <c r="P246" s="129"/>
      <c r="Q246" s="127">
        <f t="shared" si="40"/>
        <v>0</v>
      </c>
    </row>
    <row r="247" spans="1:17" ht="12.75" hidden="1">
      <c r="A247" s="72" t="s">
        <v>200</v>
      </c>
      <c r="B247" s="165"/>
      <c r="C247" s="184"/>
      <c r="D247" s="182"/>
      <c r="E247" s="182"/>
      <c r="F247" s="183">
        <f t="shared" si="41"/>
        <v>0</v>
      </c>
      <c r="G247" s="228"/>
      <c r="H247" s="7"/>
      <c r="I247" s="51"/>
      <c r="J247" s="50"/>
      <c r="K247" s="7"/>
      <c r="L247" s="51">
        <f t="shared" si="43"/>
        <v>0</v>
      </c>
      <c r="M247" s="50"/>
      <c r="N247" s="7"/>
      <c r="O247" s="51">
        <f t="shared" si="44"/>
        <v>0</v>
      </c>
      <c r="P247" s="129"/>
      <c r="Q247" s="127">
        <f t="shared" si="40"/>
        <v>0</v>
      </c>
    </row>
    <row r="248" spans="1:17" ht="12.75">
      <c r="A248" s="92" t="s">
        <v>232</v>
      </c>
      <c r="B248" s="165">
        <v>33160</v>
      </c>
      <c r="C248" s="184"/>
      <c r="D248" s="182">
        <f>256.1</f>
        <v>256.1</v>
      </c>
      <c r="E248" s="182"/>
      <c r="F248" s="183">
        <f t="shared" si="41"/>
        <v>256.1</v>
      </c>
      <c r="G248" s="228"/>
      <c r="H248" s="7"/>
      <c r="I248" s="51">
        <f t="shared" si="42"/>
        <v>256.1</v>
      </c>
      <c r="J248" s="50"/>
      <c r="K248" s="7"/>
      <c r="L248" s="51">
        <f t="shared" si="43"/>
        <v>256.1</v>
      </c>
      <c r="M248" s="50"/>
      <c r="N248" s="7"/>
      <c r="O248" s="51">
        <f t="shared" si="44"/>
        <v>256.1</v>
      </c>
      <c r="P248" s="129"/>
      <c r="Q248" s="127">
        <f t="shared" si="40"/>
        <v>256.1</v>
      </c>
    </row>
    <row r="249" spans="1:17" ht="12.75" hidden="1">
      <c r="A249" s="74" t="s">
        <v>175</v>
      </c>
      <c r="B249" s="165"/>
      <c r="C249" s="184"/>
      <c r="D249" s="182"/>
      <c r="E249" s="182"/>
      <c r="F249" s="183">
        <f t="shared" si="41"/>
        <v>0</v>
      </c>
      <c r="G249" s="228"/>
      <c r="H249" s="7"/>
      <c r="I249" s="51">
        <f t="shared" si="42"/>
        <v>0</v>
      </c>
      <c r="J249" s="50"/>
      <c r="K249" s="7"/>
      <c r="L249" s="51">
        <f t="shared" si="43"/>
        <v>0</v>
      </c>
      <c r="M249" s="50"/>
      <c r="N249" s="7"/>
      <c r="O249" s="51">
        <f t="shared" si="44"/>
        <v>0</v>
      </c>
      <c r="P249" s="129"/>
      <c r="Q249" s="127">
        <f t="shared" si="40"/>
        <v>0</v>
      </c>
    </row>
    <row r="250" spans="1:17" ht="12.75" hidden="1">
      <c r="A250" s="92" t="s">
        <v>160</v>
      </c>
      <c r="B250" s="165"/>
      <c r="C250" s="184"/>
      <c r="D250" s="182"/>
      <c r="E250" s="182"/>
      <c r="F250" s="183">
        <f t="shared" si="41"/>
        <v>0</v>
      </c>
      <c r="G250" s="228"/>
      <c r="H250" s="7"/>
      <c r="I250" s="51">
        <f t="shared" si="42"/>
        <v>0</v>
      </c>
      <c r="J250" s="50"/>
      <c r="K250" s="7"/>
      <c r="L250" s="51">
        <f t="shared" si="43"/>
        <v>0</v>
      </c>
      <c r="M250" s="50"/>
      <c r="N250" s="7"/>
      <c r="O250" s="51">
        <f t="shared" si="44"/>
        <v>0</v>
      </c>
      <c r="P250" s="129"/>
      <c r="Q250" s="127">
        <f t="shared" si="40"/>
        <v>0</v>
      </c>
    </row>
    <row r="251" spans="1:17" ht="12.75" hidden="1">
      <c r="A251" s="92" t="s">
        <v>174</v>
      </c>
      <c r="B251" s="165"/>
      <c r="C251" s="184"/>
      <c r="D251" s="182"/>
      <c r="E251" s="182"/>
      <c r="F251" s="183">
        <f t="shared" si="41"/>
        <v>0</v>
      </c>
      <c r="G251" s="228"/>
      <c r="H251" s="7"/>
      <c r="I251" s="51">
        <f t="shared" si="42"/>
        <v>0</v>
      </c>
      <c r="J251" s="50"/>
      <c r="K251" s="7"/>
      <c r="L251" s="51">
        <f t="shared" si="43"/>
        <v>0</v>
      </c>
      <c r="M251" s="50"/>
      <c r="N251" s="7"/>
      <c r="O251" s="51">
        <f t="shared" si="44"/>
        <v>0</v>
      </c>
      <c r="P251" s="129"/>
      <c r="Q251" s="127">
        <f t="shared" si="40"/>
        <v>0</v>
      </c>
    </row>
    <row r="252" spans="1:17" ht="12.75" hidden="1">
      <c r="A252" s="74" t="s">
        <v>107</v>
      </c>
      <c r="B252" s="165">
        <v>33025</v>
      </c>
      <c r="C252" s="184"/>
      <c r="D252" s="182"/>
      <c r="E252" s="182"/>
      <c r="F252" s="183">
        <f t="shared" si="41"/>
        <v>0</v>
      </c>
      <c r="G252" s="228"/>
      <c r="H252" s="7"/>
      <c r="I252" s="51">
        <f t="shared" si="42"/>
        <v>0</v>
      </c>
      <c r="J252" s="50"/>
      <c r="K252" s="7"/>
      <c r="L252" s="51">
        <f t="shared" si="43"/>
        <v>0</v>
      </c>
      <c r="M252" s="50"/>
      <c r="N252" s="7"/>
      <c r="O252" s="51">
        <f t="shared" si="44"/>
        <v>0</v>
      </c>
      <c r="P252" s="129"/>
      <c r="Q252" s="127">
        <f t="shared" si="40"/>
        <v>0</v>
      </c>
    </row>
    <row r="253" spans="1:17" ht="12.75" hidden="1">
      <c r="A253" s="74" t="s">
        <v>211</v>
      </c>
      <c r="B253" s="165">
        <v>33038</v>
      </c>
      <c r="C253" s="184"/>
      <c r="D253" s="182"/>
      <c r="E253" s="182"/>
      <c r="F253" s="183">
        <f t="shared" si="41"/>
        <v>0</v>
      </c>
      <c r="G253" s="228"/>
      <c r="H253" s="7"/>
      <c r="I253" s="51">
        <f t="shared" si="42"/>
        <v>0</v>
      </c>
      <c r="J253" s="50"/>
      <c r="K253" s="7"/>
      <c r="L253" s="51">
        <f t="shared" si="43"/>
        <v>0</v>
      </c>
      <c r="M253" s="50"/>
      <c r="N253" s="7"/>
      <c r="O253" s="51">
        <f t="shared" si="44"/>
        <v>0</v>
      </c>
      <c r="P253" s="129"/>
      <c r="Q253" s="127">
        <f t="shared" si="40"/>
        <v>0</v>
      </c>
    </row>
    <row r="254" spans="1:17" ht="12.75" hidden="1">
      <c r="A254" s="74" t="s">
        <v>171</v>
      </c>
      <c r="B254" s="165">
        <v>33123</v>
      </c>
      <c r="C254" s="184"/>
      <c r="D254" s="182"/>
      <c r="E254" s="182"/>
      <c r="F254" s="183">
        <f t="shared" si="41"/>
        <v>0</v>
      </c>
      <c r="G254" s="228"/>
      <c r="H254" s="7"/>
      <c r="I254" s="51">
        <f t="shared" si="42"/>
        <v>0</v>
      </c>
      <c r="J254" s="50"/>
      <c r="K254" s="7"/>
      <c r="L254" s="51">
        <f t="shared" si="43"/>
        <v>0</v>
      </c>
      <c r="M254" s="50"/>
      <c r="N254" s="7"/>
      <c r="O254" s="51">
        <f t="shared" si="44"/>
        <v>0</v>
      </c>
      <c r="P254" s="129"/>
      <c r="Q254" s="127">
        <f t="shared" si="40"/>
        <v>0</v>
      </c>
    </row>
    <row r="255" spans="1:17" ht="12.75" hidden="1">
      <c r="A255" s="74" t="s">
        <v>210</v>
      </c>
      <c r="B255" s="165">
        <v>33031</v>
      </c>
      <c r="C255" s="184"/>
      <c r="D255" s="182"/>
      <c r="E255" s="182"/>
      <c r="F255" s="183">
        <f t="shared" si="41"/>
        <v>0</v>
      </c>
      <c r="G255" s="228"/>
      <c r="H255" s="7"/>
      <c r="I255" s="51"/>
      <c r="J255" s="50"/>
      <c r="K255" s="7"/>
      <c r="L255" s="51"/>
      <c r="M255" s="50"/>
      <c r="N255" s="7"/>
      <c r="O255" s="51"/>
      <c r="P255" s="129"/>
      <c r="Q255" s="127"/>
    </row>
    <row r="256" spans="1:17" ht="12.75">
      <c r="A256" s="74" t="s">
        <v>336</v>
      </c>
      <c r="B256" s="165"/>
      <c r="C256" s="184"/>
      <c r="D256" s="182">
        <f>17565.21</f>
        <v>17565.21</v>
      </c>
      <c r="E256" s="182"/>
      <c r="F256" s="183">
        <f t="shared" si="41"/>
        <v>17565.21</v>
      </c>
      <c r="G256" s="228"/>
      <c r="H256" s="7"/>
      <c r="I256" s="51">
        <f t="shared" si="42"/>
        <v>17565.21</v>
      </c>
      <c r="J256" s="50"/>
      <c r="K256" s="7"/>
      <c r="L256" s="51">
        <f t="shared" si="43"/>
        <v>17565.21</v>
      </c>
      <c r="M256" s="50"/>
      <c r="N256" s="7"/>
      <c r="O256" s="51">
        <f t="shared" si="44"/>
        <v>17565.21</v>
      </c>
      <c r="P256" s="129"/>
      <c r="Q256" s="127">
        <f t="shared" si="40"/>
        <v>17565.21</v>
      </c>
    </row>
    <row r="257" spans="1:17" ht="12.75" hidden="1">
      <c r="A257" s="74" t="s">
        <v>108</v>
      </c>
      <c r="B257" s="165"/>
      <c r="C257" s="184"/>
      <c r="D257" s="182"/>
      <c r="E257" s="182"/>
      <c r="F257" s="183">
        <f t="shared" si="41"/>
        <v>0</v>
      </c>
      <c r="G257" s="228"/>
      <c r="H257" s="7"/>
      <c r="I257" s="51">
        <f t="shared" si="42"/>
        <v>0</v>
      </c>
      <c r="J257" s="50"/>
      <c r="K257" s="7"/>
      <c r="L257" s="51">
        <f t="shared" si="43"/>
        <v>0</v>
      </c>
      <c r="M257" s="50"/>
      <c r="N257" s="7"/>
      <c r="O257" s="51">
        <f t="shared" si="44"/>
        <v>0</v>
      </c>
      <c r="P257" s="129"/>
      <c r="Q257" s="127">
        <f t="shared" si="40"/>
        <v>0</v>
      </c>
    </row>
    <row r="258" spans="1:17" ht="12.75">
      <c r="A258" s="74" t="s">
        <v>94</v>
      </c>
      <c r="B258" s="165"/>
      <c r="C258" s="184"/>
      <c r="D258" s="182">
        <f>402</f>
        <v>402</v>
      </c>
      <c r="E258" s="182"/>
      <c r="F258" s="183">
        <f t="shared" si="41"/>
        <v>402</v>
      </c>
      <c r="G258" s="228"/>
      <c r="H258" s="7"/>
      <c r="I258" s="51">
        <f t="shared" si="42"/>
        <v>402</v>
      </c>
      <c r="J258" s="50"/>
      <c r="K258" s="7"/>
      <c r="L258" s="51">
        <f t="shared" si="43"/>
        <v>402</v>
      </c>
      <c r="M258" s="65"/>
      <c r="N258" s="7"/>
      <c r="O258" s="51">
        <f t="shared" si="44"/>
        <v>402</v>
      </c>
      <c r="P258" s="129"/>
      <c r="Q258" s="127">
        <f t="shared" si="40"/>
        <v>402</v>
      </c>
    </row>
    <row r="259" spans="1:17" ht="12.75">
      <c r="A259" s="74" t="s">
        <v>64</v>
      </c>
      <c r="B259" s="165"/>
      <c r="C259" s="184">
        <v>28705</v>
      </c>
      <c r="D259" s="182">
        <f>439+856.59-1000-13091+7400+9000+179+50</f>
        <v>3833.59</v>
      </c>
      <c r="E259" s="182"/>
      <c r="F259" s="183">
        <f t="shared" si="41"/>
        <v>32538.59</v>
      </c>
      <c r="G259" s="228"/>
      <c r="H259" s="7"/>
      <c r="I259" s="51">
        <f t="shared" si="42"/>
        <v>32538.59</v>
      </c>
      <c r="J259" s="50"/>
      <c r="K259" s="7"/>
      <c r="L259" s="51">
        <f t="shared" si="43"/>
        <v>32538.59</v>
      </c>
      <c r="M259" s="65"/>
      <c r="N259" s="7"/>
      <c r="O259" s="51">
        <f t="shared" si="44"/>
        <v>32538.59</v>
      </c>
      <c r="P259" s="129"/>
      <c r="Q259" s="127">
        <f t="shared" si="40"/>
        <v>32538.59</v>
      </c>
    </row>
    <row r="260" spans="1:17" ht="12.75">
      <c r="A260" s="77" t="s">
        <v>67</v>
      </c>
      <c r="B260" s="169"/>
      <c r="C260" s="196">
        <f>SUM(C262:C266)</f>
        <v>0</v>
      </c>
      <c r="D260" s="197">
        <f>SUM(D262:D266)</f>
        <v>132.3</v>
      </c>
      <c r="E260" s="197"/>
      <c r="F260" s="198">
        <f>SUM(F262:F266)</f>
        <v>132.3</v>
      </c>
      <c r="G260" s="117"/>
      <c r="H260" s="13"/>
      <c r="I260" s="61">
        <f>SUM(I262:I266)</f>
        <v>132.3</v>
      </c>
      <c r="J260" s="60"/>
      <c r="K260" s="13"/>
      <c r="L260" s="61">
        <f>SUM(L262:L266)</f>
        <v>132.3</v>
      </c>
      <c r="M260" s="60"/>
      <c r="N260" s="13"/>
      <c r="O260" s="61">
        <f>SUM(O262:O266)</f>
        <v>132.3</v>
      </c>
      <c r="P260" s="135"/>
      <c r="Q260" s="120">
        <f>SUM(Q262:Q266)</f>
        <v>132.3</v>
      </c>
    </row>
    <row r="261" spans="1:17" ht="12.75">
      <c r="A261" s="72" t="s">
        <v>33</v>
      </c>
      <c r="B261" s="165"/>
      <c r="C261" s="184"/>
      <c r="D261" s="182"/>
      <c r="E261" s="182"/>
      <c r="F261" s="183"/>
      <c r="G261" s="228"/>
      <c r="H261" s="7"/>
      <c r="I261" s="49"/>
      <c r="J261" s="50"/>
      <c r="K261" s="7"/>
      <c r="L261" s="49"/>
      <c r="M261" s="50"/>
      <c r="N261" s="7"/>
      <c r="O261" s="49"/>
      <c r="P261" s="129"/>
      <c r="Q261" s="127"/>
    </row>
    <row r="262" spans="1:17" ht="12.75">
      <c r="A262" s="81" t="s">
        <v>109</v>
      </c>
      <c r="B262" s="168"/>
      <c r="C262" s="194"/>
      <c r="D262" s="195">
        <f>132.3</f>
        <v>132.3</v>
      </c>
      <c r="E262" s="195"/>
      <c r="F262" s="246">
        <f>C262+D262+E262</f>
        <v>132.3</v>
      </c>
      <c r="G262" s="228"/>
      <c r="H262" s="7"/>
      <c r="I262" s="51">
        <f>F262+G262+H262</f>
        <v>132.3</v>
      </c>
      <c r="J262" s="50"/>
      <c r="K262" s="7"/>
      <c r="L262" s="51">
        <f>I262+J262+K262</f>
        <v>132.3</v>
      </c>
      <c r="M262" s="50"/>
      <c r="N262" s="7"/>
      <c r="O262" s="51">
        <f>L262+M262+N262</f>
        <v>132.3</v>
      </c>
      <c r="P262" s="129"/>
      <c r="Q262" s="127">
        <f t="shared" si="40"/>
        <v>132.3</v>
      </c>
    </row>
    <row r="263" spans="1:17" ht="12.75" hidden="1">
      <c r="A263" s="74" t="s">
        <v>83</v>
      </c>
      <c r="B263" s="165"/>
      <c r="C263" s="184"/>
      <c r="D263" s="182"/>
      <c r="E263" s="182"/>
      <c r="F263" s="183">
        <f>C263+D263+E263</f>
        <v>0</v>
      </c>
      <c r="G263" s="228"/>
      <c r="H263" s="7"/>
      <c r="I263" s="51">
        <f>F263+G263+H263</f>
        <v>0</v>
      </c>
      <c r="J263" s="50"/>
      <c r="K263" s="7"/>
      <c r="L263" s="51">
        <f>I263+J263+K263</f>
        <v>0</v>
      </c>
      <c r="M263" s="50"/>
      <c r="N263" s="7"/>
      <c r="O263" s="51">
        <f>L263+M263+N263</f>
        <v>0</v>
      </c>
      <c r="P263" s="129"/>
      <c r="Q263" s="127">
        <f t="shared" si="40"/>
        <v>0</v>
      </c>
    </row>
    <row r="264" spans="1:17" ht="12.75" hidden="1">
      <c r="A264" s="74" t="s">
        <v>110</v>
      </c>
      <c r="B264" s="165"/>
      <c r="C264" s="184"/>
      <c r="D264" s="182"/>
      <c r="E264" s="182"/>
      <c r="F264" s="183">
        <f>C264+D264+E264</f>
        <v>0</v>
      </c>
      <c r="G264" s="228"/>
      <c r="H264" s="7"/>
      <c r="I264" s="51">
        <f>F264+G264+H264</f>
        <v>0</v>
      </c>
      <c r="J264" s="50"/>
      <c r="K264" s="7"/>
      <c r="L264" s="51">
        <f>I264+J264+K264</f>
        <v>0</v>
      </c>
      <c r="M264" s="50"/>
      <c r="N264" s="7"/>
      <c r="O264" s="51">
        <f>L264+M264+N264</f>
        <v>0</v>
      </c>
      <c r="P264" s="129"/>
      <c r="Q264" s="127">
        <f t="shared" si="40"/>
        <v>0</v>
      </c>
    </row>
    <row r="265" spans="1:17" ht="12.75" hidden="1">
      <c r="A265" s="74" t="s">
        <v>68</v>
      </c>
      <c r="B265" s="165"/>
      <c r="C265" s="184"/>
      <c r="D265" s="182"/>
      <c r="E265" s="182"/>
      <c r="F265" s="183">
        <f>C265+D265+E265</f>
        <v>0</v>
      </c>
      <c r="G265" s="228"/>
      <c r="H265" s="7"/>
      <c r="I265" s="51">
        <f>F265+G265+H265</f>
        <v>0</v>
      </c>
      <c r="J265" s="50"/>
      <c r="K265" s="9"/>
      <c r="L265" s="51">
        <f>I265+J265+K265</f>
        <v>0</v>
      </c>
      <c r="M265" s="50"/>
      <c r="N265" s="7"/>
      <c r="O265" s="51">
        <f>L265+M265+N265</f>
        <v>0</v>
      </c>
      <c r="P265" s="129"/>
      <c r="Q265" s="127">
        <f t="shared" si="40"/>
        <v>0</v>
      </c>
    </row>
    <row r="266" spans="1:17" ht="12.75" hidden="1">
      <c r="A266" s="81" t="s">
        <v>94</v>
      </c>
      <c r="B266" s="168"/>
      <c r="C266" s="194"/>
      <c r="D266" s="195"/>
      <c r="E266" s="195"/>
      <c r="F266" s="246">
        <f>C266+D266+E266</f>
        <v>0</v>
      </c>
      <c r="G266" s="16"/>
      <c r="H266" s="10"/>
      <c r="I266" s="55">
        <f>F266+G266+H266</f>
        <v>0</v>
      </c>
      <c r="J266" s="54"/>
      <c r="K266" s="106"/>
      <c r="L266" s="55">
        <f>I266+J266+K266</f>
        <v>0</v>
      </c>
      <c r="M266" s="54"/>
      <c r="N266" s="10"/>
      <c r="O266" s="55">
        <f>L266+M266+N266</f>
        <v>0</v>
      </c>
      <c r="P266" s="142"/>
      <c r="Q266" s="143">
        <f t="shared" si="40"/>
        <v>0</v>
      </c>
    </row>
    <row r="267" spans="1:17" ht="12.75">
      <c r="A267" s="67" t="s">
        <v>111</v>
      </c>
      <c r="B267" s="169"/>
      <c r="C267" s="179">
        <f>C268+C280</f>
        <v>383327.2</v>
      </c>
      <c r="D267" s="180">
        <f>D268+D280</f>
        <v>92423.39</v>
      </c>
      <c r="E267" s="180">
        <f>E268+E280</f>
        <v>0</v>
      </c>
      <c r="F267" s="181">
        <f>F268+F280</f>
        <v>475750.59</v>
      </c>
      <c r="G267" s="227"/>
      <c r="H267" s="6"/>
      <c r="I267" s="49">
        <f>I268+I280</f>
        <v>378485.09</v>
      </c>
      <c r="J267" s="48"/>
      <c r="K267" s="6"/>
      <c r="L267" s="49">
        <f>L268+L280</f>
        <v>378485.09</v>
      </c>
      <c r="M267" s="48"/>
      <c r="N267" s="6"/>
      <c r="O267" s="49">
        <f>O268+O280</f>
        <v>378485.09</v>
      </c>
      <c r="P267" s="130"/>
      <c r="Q267" s="107">
        <f>Q268+Q280</f>
        <v>378485.09</v>
      </c>
    </row>
    <row r="268" spans="1:17" ht="12.75">
      <c r="A268" s="76" t="s">
        <v>62</v>
      </c>
      <c r="B268" s="169"/>
      <c r="C268" s="191">
        <f aca="true" t="shared" si="45" ref="C268:O268">SUM(C270:C279)</f>
        <v>383327.2</v>
      </c>
      <c r="D268" s="192">
        <f t="shared" si="45"/>
        <v>46423.39</v>
      </c>
      <c r="E268" s="192">
        <f>SUM(E270:E279)</f>
        <v>0</v>
      </c>
      <c r="F268" s="193">
        <f t="shared" si="45"/>
        <v>429750.59</v>
      </c>
      <c r="G268" s="231"/>
      <c r="H268" s="12"/>
      <c r="I268" s="59">
        <f t="shared" si="45"/>
        <v>378485.09</v>
      </c>
      <c r="J268" s="58"/>
      <c r="K268" s="12"/>
      <c r="L268" s="59">
        <f t="shared" si="45"/>
        <v>378485.09</v>
      </c>
      <c r="M268" s="58"/>
      <c r="N268" s="12"/>
      <c r="O268" s="59">
        <f t="shared" si="45"/>
        <v>378485.09</v>
      </c>
      <c r="P268" s="134"/>
      <c r="Q268" s="108">
        <f>SUM(Q270:Q279)</f>
        <v>378485.09</v>
      </c>
    </row>
    <row r="269" spans="1:17" ht="12.75">
      <c r="A269" s="72" t="s">
        <v>33</v>
      </c>
      <c r="B269" s="165"/>
      <c r="C269" s="184"/>
      <c r="D269" s="182"/>
      <c r="E269" s="182"/>
      <c r="F269" s="181"/>
      <c r="G269" s="228"/>
      <c r="H269" s="7"/>
      <c r="I269" s="49"/>
      <c r="J269" s="50"/>
      <c r="K269" s="7"/>
      <c r="L269" s="49"/>
      <c r="M269" s="50"/>
      <c r="N269" s="7"/>
      <c r="O269" s="49"/>
      <c r="P269" s="129"/>
      <c r="Q269" s="127"/>
    </row>
    <row r="270" spans="1:17" ht="12.75">
      <c r="A270" s="69" t="s">
        <v>91</v>
      </c>
      <c r="B270" s="165"/>
      <c r="C270" s="184">
        <v>223604</v>
      </c>
      <c r="D270" s="182"/>
      <c r="E270" s="182"/>
      <c r="F270" s="183">
        <f aca="true" t="shared" si="46" ref="F270:F279">C270+D270+E270</f>
        <v>223604</v>
      </c>
      <c r="G270" s="228"/>
      <c r="H270" s="7"/>
      <c r="I270" s="51">
        <f aca="true" t="shared" si="47" ref="I270:I279">F270+G270+H270</f>
        <v>223604</v>
      </c>
      <c r="J270" s="50"/>
      <c r="K270" s="7"/>
      <c r="L270" s="51">
        <f aca="true" t="shared" si="48" ref="L270:L279">I270+J270+K270</f>
        <v>223604</v>
      </c>
      <c r="M270" s="50"/>
      <c r="N270" s="7"/>
      <c r="O270" s="51">
        <f aca="true" t="shared" si="49" ref="O270:O279">L270+M270+N270</f>
        <v>223604</v>
      </c>
      <c r="P270" s="129"/>
      <c r="Q270" s="127">
        <f>O270+P270</f>
        <v>223604</v>
      </c>
    </row>
    <row r="271" spans="1:17" ht="12.75">
      <c r="A271" s="166" t="s">
        <v>276</v>
      </c>
      <c r="B271" s="165"/>
      <c r="C271" s="184">
        <v>8417.5</v>
      </c>
      <c r="D271" s="182">
        <f>2848+10000</f>
        <v>12848</v>
      </c>
      <c r="E271" s="182"/>
      <c r="F271" s="183">
        <f t="shared" si="46"/>
        <v>21265.5</v>
      </c>
      <c r="G271" s="228"/>
      <c r="H271" s="7"/>
      <c r="I271" s="51"/>
      <c r="J271" s="50"/>
      <c r="K271" s="7"/>
      <c r="L271" s="51"/>
      <c r="M271" s="50"/>
      <c r="N271" s="7"/>
      <c r="O271" s="51"/>
      <c r="P271" s="129"/>
      <c r="Q271" s="127"/>
    </row>
    <row r="272" spans="1:17" ht="12.75">
      <c r="A272" s="74" t="s">
        <v>78</v>
      </c>
      <c r="B272" s="165"/>
      <c r="C272" s="184">
        <v>100000</v>
      </c>
      <c r="D272" s="182">
        <f>500+30000</f>
        <v>30500</v>
      </c>
      <c r="E272" s="182"/>
      <c r="F272" s="183">
        <f t="shared" si="46"/>
        <v>130500</v>
      </c>
      <c r="G272" s="228"/>
      <c r="H272" s="7"/>
      <c r="I272" s="51">
        <f t="shared" si="47"/>
        <v>130500</v>
      </c>
      <c r="J272" s="50"/>
      <c r="K272" s="7"/>
      <c r="L272" s="51">
        <f t="shared" si="48"/>
        <v>130500</v>
      </c>
      <c r="M272" s="50"/>
      <c r="N272" s="7"/>
      <c r="O272" s="51">
        <f t="shared" si="49"/>
        <v>130500</v>
      </c>
      <c r="P272" s="129"/>
      <c r="Q272" s="127">
        <f>O272+P272</f>
        <v>130500</v>
      </c>
    </row>
    <row r="273" spans="1:17" ht="12.75">
      <c r="A273" s="74" t="s">
        <v>222</v>
      </c>
      <c r="B273" s="165"/>
      <c r="C273" s="184">
        <v>30000</v>
      </c>
      <c r="D273" s="182"/>
      <c r="E273" s="182"/>
      <c r="F273" s="183">
        <f t="shared" si="46"/>
        <v>30000</v>
      </c>
      <c r="G273" s="228"/>
      <c r="H273" s="7"/>
      <c r="I273" s="51"/>
      <c r="J273" s="50"/>
      <c r="K273" s="7"/>
      <c r="L273" s="51"/>
      <c r="M273" s="50"/>
      <c r="N273" s="7"/>
      <c r="O273" s="51"/>
      <c r="P273" s="129"/>
      <c r="Q273" s="127"/>
    </row>
    <row r="274" spans="1:17" ht="12.75">
      <c r="A274" s="74" t="s">
        <v>64</v>
      </c>
      <c r="B274" s="165"/>
      <c r="C274" s="200">
        <v>21305.7</v>
      </c>
      <c r="D274" s="182">
        <f>2495+217</f>
        <v>2712</v>
      </c>
      <c r="E274" s="182"/>
      <c r="F274" s="183">
        <f t="shared" si="46"/>
        <v>24017.7</v>
      </c>
      <c r="G274" s="228"/>
      <c r="H274" s="7"/>
      <c r="I274" s="51">
        <f t="shared" si="47"/>
        <v>24017.7</v>
      </c>
      <c r="J274" s="50"/>
      <c r="K274" s="7"/>
      <c r="L274" s="51">
        <f t="shared" si="48"/>
        <v>24017.7</v>
      </c>
      <c r="M274" s="50"/>
      <c r="N274" s="7"/>
      <c r="O274" s="51">
        <f t="shared" si="49"/>
        <v>24017.7</v>
      </c>
      <c r="P274" s="129"/>
      <c r="Q274" s="127">
        <f aca="true" t="shared" si="50" ref="Q274:Q279">O274+P274</f>
        <v>24017.7</v>
      </c>
    </row>
    <row r="275" spans="1:17" ht="12.75" hidden="1">
      <c r="A275" s="74" t="s">
        <v>95</v>
      </c>
      <c r="B275" s="165"/>
      <c r="C275" s="200"/>
      <c r="D275" s="182"/>
      <c r="E275" s="182"/>
      <c r="F275" s="183">
        <f t="shared" si="46"/>
        <v>0</v>
      </c>
      <c r="G275" s="228"/>
      <c r="H275" s="7"/>
      <c r="I275" s="51">
        <f t="shared" si="47"/>
        <v>0</v>
      </c>
      <c r="J275" s="50"/>
      <c r="K275" s="7"/>
      <c r="L275" s="51">
        <f t="shared" si="48"/>
        <v>0</v>
      </c>
      <c r="M275" s="50"/>
      <c r="N275" s="7"/>
      <c r="O275" s="51">
        <f t="shared" si="49"/>
        <v>0</v>
      </c>
      <c r="P275" s="129"/>
      <c r="Q275" s="127">
        <f t="shared" si="50"/>
        <v>0</v>
      </c>
    </row>
    <row r="276" spans="1:17" ht="12.75" hidden="1">
      <c r="A276" s="74" t="s">
        <v>166</v>
      </c>
      <c r="B276" s="165"/>
      <c r="C276" s="200"/>
      <c r="D276" s="182"/>
      <c r="E276" s="182"/>
      <c r="F276" s="183">
        <f t="shared" si="46"/>
        <v>0</v>
      </c>
      <c r="G276" s="228"/>
      <c r="H276" s="7"/>
      <c r="I276" s="51">
        <f t="shared" si="47"/>
        <v>0</v>
      </c>
      <c r="J276" s="50"/>
      <c r="K276" s="7"/>
      <c r="L276" s="51">
        <f t="shared" si="48"/>
        <v>0</v>
      </c>
      <c r="M276" s="50"/>
      <c r="N276" s="7"/>
      <c r="O276" s="51">
        <f t="shared" si="49"/>
        <v>0</v>
      </c>
      <c r="P276" s="129"/>
      <c r="Q276" s="127">
        <f t="shared" si="50"/>
        <v>0</v>
      </c>
    </row>
    <row r="277" spans="1:17" ht="12.75">
      <c r="A277" s="74" t="s">
        <v>112</v>
      </c>
      <c r="B277" s="165">
        <v>98335</v>
      </c>
      <c r="C277" s="184"/>
      <c r="D277" s="182">
        <f>176.59</f>
        <v>176.59</v>
      </c>
      <c r="E277" s="182"/>
      <c r="F277" s="183">
        <f t="shared" si="46"/>
        <v>176.59</v>
      </c>
      <c r="G277" s="228"/>
      <c r="H277" s="7"/>
      <c r="I277" s="51">
        <f t="shared" si="47"/>
        <v>176.59</v>
      </c>
      <c r="J277" s="50"/>
      <c r="K277" s="7"/>
      <c r="L277" s="51">
        <f t="shared" si="48"/>
        <v>176.59</v>
      </c>
      <c r="M277" s="66"/>
      <c r="N277" s="7"/>
      <c r="O277" s="51">
        <f t="shared" si="49"/>
        <v>176.59</v>
      </c>
      <c r="P277" s="129"/>
      <c r="Q277" s="127">
        <f t="shared" si="50"/>
        <v>176.59</v>
      </c>
    </row>
    <row r="278" spans="1:17" ht="12.75" hidden="1">
      <c r="A278" s="74" t="s">
        <v>113</v>
      </c>
      <c r="B278" s="165"/>
      <c r="C278" s="184"/>
      <c r="D278" s="182"/>
      <c r="E278" s="182"/>
      <c r="F278" s="183">
        <f t="shared" si="46"/>
        <v>0</v>
      </c>
      <c r="G278" s="228"/>
      <c r="H278" s="7"/>
      <c r="I278" s="51">
        <f t="shared" si="47"/>
        <v>0</v>
      </c>
      <c r="J278" s="50"/>
      <c r="K278" s="7"/>
      <c r="L278" s="51">
        <f t="shared" si="48"/>
        <v>0</v>
      </c>
      <c r="M278" s="50"/>
      <c r="N278" s="7"/>
      <c r="O278" s="51">
        <f t="shared" si="49"/>
        <v>0</v>
      </c>
      <c r="P278" s="129"/>
      <c r="Q278" s="127">
        <f t="shared" si="50"/>
        <v>0</v>
      </c>
    </row>
    <row r="279" spans="1:17" ht="12.75">
      <c r="A279" s="74" t="s">
        <v>114</v>
      </c>
      <c r="B279" s="165">
        <v>98297</v>
      </c>
      <c r="C279" s="184"/>
      <c r="D279" s="182">
        <f>186.8</f>
        <v>186.8</v>
      </c>
      <c r="E279" s="182"/>
      <c r="F279" s="183">
        <f t="shared" si="46"/>
        <v>186.8</v>
      </c>
      <c r="G279" s="228"/>
      <c r="H279" s="7"/>
      <c r="I279" s="51">
        <f t="shared" si="47"/>
        <v>186.8</v>
      </c>
      <c r="J279" s="50"/>
      <c r="K279" s="7"/>
      <c r="L279" s="51">
        <f t="shared" si="48"/>
        <v>186.8</v>
      </c>
      <c r="M279" s="50"/>
      <c r="N279" s="7"/>
      <c r="O279" s="51">
        <f t="shared" si="49"/>
        <v>186.8</v>
      </c>
      <c r="P279" s="129"/>
      <c r="Q279" s="127">
        <f t="shared" si="50"/>
        <v>186.8</v>
      </c>
    </row>
    <row r="280" spans="1:17" ht="12.75">
      <c r="A280" s="76" t="s">
        <v>67</v>
      </c>
      <c r="B280" s="169"/>
      <c r="C280" s="191">
        <f>SUM(C282:C286)</f>
        <v>0</v>
      </c>
      <c r="D280" s="192">
        <f>SUM(D282:D286)</f>
        <v>46000</v>
      </c>
      <c r="E280" s="192">
        <f>SUM(E282:E286)</f>
        <v>0</v>
      </c>
      <c r="F280" s="193">
        <f>SUM(F282:F286)</f>
        <v>46000</v>
      </c>
      <c r="G280" s="231"/>
      <c r="H280" s="12"/>
      <c r="I280" s="59">
        <f>SUM(I282:I286)</f>
        <v>0</v>
      </c>
      <c r="J280" s="58"/>
      <c r="K280" s="12"/>
      <c r="L280" s="59">
        <f>SUM(L282:L286)</f>
        <v>0</v>
      </c>
      <c r="M280" s="58"/>
      <c r="N280" s="12"/>
      <c r="O280" s="59">
        <f>SUM(O282:O286)</f>
        <v>0</v>
      </c>
      <c r="P280" s="134"/>
      <c r="Q280" s="108">
        <f>SUM(Q282:Q286)</f>
        <v>0</v>
      </c>
    </row>
    <row r="281" spans="1:17" ht="12.75">
      <c r="A281" s="72" t="s">
        <v>33</v>
      </c>
      <c r="B281" s="165"/>
      <c r="C281" s="184"/>
      <c r="D281" s="182"/>
      <c r="E281" s="182"/>
      <c r="F281" s="183"/>
      <c r="G281" s="228"/>
      <c r="H281" s="7"/>
      <c r="I281" s="51"/>
      <c r="J281" s="50"/>
      <c r="K281" s="7"/>
      <c r="L281" s="51"/>
      <c r="M281" s="50"/>
      <c r="N281" s="7"/>
      <c r="O281" s="51"/>
      <c r="P281" s="129"/>
      <c r="Q281" s="127"/>
    </row>
    <row r="282" spans="1:17" ht="12.75" hidden="1">
      <c r="A282" s="74" t="s">
        <v>68</v>
      </c>
      <c r="B282" s="165"/>
      <c r="C282" s="184"/>
      <c r="D282" s="182"/>
      <c r="E282" s="182"/>
      <c r="F282" s="183">
        <f>C282+D282+E282</f>
        <v>0</v>
      </c>
      <c r="G282" s="228"/>
      <c r="H282" s="7"/>
      <c r="I282" s="51"/>
      <c r="J282" s="50"/>
      <c r="K282" s="7"/>
      <c r="L282" s="51"/>
      <c r="M282" s="50"/>
      <c r="N282" s="7"/>
      <c r="O282" s="51"/>
      <c r="P282" s="129"/>
      <c r="Q282" s="127"/>
    </row>
    <row r="283" spans="1:17" ht="12.75">
      <c r="A283" s="81" t="s">
        <v>338</v>
      </c>
      <c r="B283" s="168"/>
      <c r="C283" s="194"/>
      <c r="D283" s="195">
        <f>46000</f>
        <v>46000</v>
      </c>
      <c r="E283" s="195"/>
      <c r="F283" s="246">
        <f>C283+D283+E283</f>
        <v>46000</v>
      </c>
      <c r="G283" s="228"/>
      <c r="H283" s="7"/>
      <c r="I283" s="51"/>
      <c r="J283" s="50"/>
      <c r="K283" s="7"/>
      <c r="L283" s="51"/>
      <c r="M283" s="50"/>
      <c r="N283" s="7"/>
      <c r="O283" s="51"/>
      <c r="P283" s="129"/>
      <c r="Q283" s="127"/>
    </row>
    <row r="284" spans="1:17" ht="12.75" hidden="1">
      <c r="A284" s="74" t="s">
        <v>83</v>
      </c>
      <c r="B284" s="165"/>
      <c r="C284" s="184"/>
      <c r="D284" s="182"/>
      <c r="E284" s="182"/>
      <c r="F284" s="183">
        <f>C284+D284+E284</f>
        <v>0</v>
      </c>
      <c r="G284" s="228"/>
      <c r="H284" s="7"/>
      <c r="I284" s="51">
        <f>F284+G284+H284</f>
        <v>0</v>
      </c>
      <c r="J284" s="50"/>
      <c r="K284" s="7"/>
      <c r="L284" s="51">
        <f>I284+J284+K284</f>
        <v>0</v>
      </c>
      <c r="M284" s="50"/>
      <c r="N284" s="7"/>
      <c r="O284" s="51">
        <f>L284+M284+N284</f>
        <v>0</v>
      </c>
      <c r="P284" s="129"/>
      <c r="Q284" s="127">
        <f>O284+P284</f>
        <v>0</v>
      </c>
    </row>
    <row r="285" spans="1:17" ht="12.75" hidden="1">
      <c r="A285" s="81" t="s">
        <v>287</v>
      </c>
      <c r="B285" s="168"/>
      <c r="C285" s="194"/>
      <c r="D285" s="195"/>
      <c r="E285" s="195"/>
      <c r="F285" s="246">
        <f>C285+D285+E285</f>
        <v>0</v>
      </c>
      <c r="G285" s="16"/>
      <c r="H285" s="16"/>
      <c r="I285" s="55">
        <f>F285+G285+H285</f>
        <v>0</v>
      </c>
      <c r="J285" s="54"/>
      <c r="K285" s="16"/>
      <c r="L285" s="55">
        <f>I285+J285+K285</f>
        <v>0</v>
      </c>
      <c r="M285" s="54"/>
      <c r="N285" s="10"/>
      <c r="O285" s="55">
        <f>L285+M285+N285</f>
        <v>0</v>
      </c>
      <c r="P285" s="142"/>
      <c r="Q285" s="143">
        <f>O285+P285</f>
        <v>0</v>
      </c>
    </row>
    <row r="286" spans="1:17" ht="12.75" hidden="1">
      <c r="A286" s="73" t="s">
        <v>95</v>
      </c>
      <c r="B286" s="168"/>
      <c r="C286" s="194"/>
      <c r="D286" s="195"/>
      <c r="E286" s="195"/>
      <c r="F286" s="246">
        <f>C286+D286+E286</f>
        <v>0</v>
      </c>
      <c r="G286" s="16"/>
      <c r="H286" s="16"/>
      <c r="I286" s="55">
        <f>F286+G286+H286</f>
        <v>0</v>
      </c>
      <c r="J286" s="54"/>
      <c r="K286" s="16"/>
      <c r="L286" s="55">
        <f>I286+J286+K286</f>
        <v>0</v>
      </c>
      <c r="M286" s="54"/>
      <c r="N286" s="10"/>
      <c r="O286" s="55">
        <f>L286+M286+N286</f>
        <v>0</v>
      </c>
      <c r="P286" s="142"/>
      <c r="Q286" s="143">
        <f>O286+P286</f>
        <v>0</v>
      </c>
    </row>
    <row r="287" spans="1:17" ht="12.75">
      <c r="A287" s="82" t="s">
        <v>115</v>
      </c>
      <c r="B287" s="170"/>
      <c r="C287" s="185">
        <f>C288+C297</f>
        <v>159458.4</v>
      </c>
      <c r="D287" s="186">
        <f>D288+D297</f>
        <v>12297.6</v>
      </c>
      <c r="E287" s="186">
        <f>E288+E297</f>
        <v>0</v>
      </c>
      <c r="F287" s="187">
        <f>F288+F297</f>
        <v>171756</v>
      </c>
      <c r="G287" s="17"/>
      <c r="H287" s="17"/>
      <c r="I287" s="53">
        <f>I288+I297</f>
        <v>171756</v>
      </c>
      <c r="J287" s="52"/>
      <c r="K287" s="17"/>
      <c r="L287" s="63">
        <f>L288+L297</f>
        <v>171756</v>
      </c>
      <c r="M287" s="52"/>
      <c r="N287" s="8"/>
      <c r="O287" s="53">
        <f>O288+O297</f>
        <v>171756</v>
      </c>
      <c r="P287" s="132"/>
      <c r="Q287" s="63">
        <f>Q288+Q297</f>
        <v>171756</v>
      </c>
    </row>
    <row r="288" spans="1:17" ht="12.75">
      <c r="A288" s="76" t="s">
        <v>62</v>
      </c>
      <c r="B288" s="169"/>
      <c r="C288" s="191">
        <f>SUM(C290:C296)</f>
        <v>159458.4</v>
      </c>
      <c r="D288" s="192">
        <f>SUM(D290:D296)</f>
        <v>12297.6</v>
      </c>
      <c r="E288" s="192">
        <f>SUM(E290:E296)</f>
        <v>0</v>
      </c>
      <c r="F288" s="193">
        <f>SUM(F290:F296)</f>
        <v>171756</v>
      </c>
      <c r="G288" s="231"/>
      <c r="H288" s="12"/>
      <c r="I288" s="59">
        <f>SUM(I290:I296)</f>
        <v>171756</v>
      </c>
      <c r="J288" s="58"/>
      <c r="K288" s="12"/>
      <c r="L288" s="59">
        <f>SUM(L290:L296)</f>
        <v>171756</v>
      </c>
      <c r="M288" s="58"/>
      <c r="N288" s="12"/>
      <c r="O288" s="59">
        <f>SUM(O290:O296)</f>
        <v>171756</v>
      </c>
      <c r="P288" s="134"/>
      <c r="Q288" s="108">
        <f>SUM(Q290:Q296)</f>
        <v>171756</v>
      </c>
    </row>
    <row r="289" spans="1:17" ht="12.75">
      <c r="A289" s="72" t="s">
        <v>33</v>
      </c>
      <c r="B289" s="165"/>
      <c r="C289" s="184"/>
      <c r="D289" s="182"/>
      <c r="E289" s="182"/>
      <c r="F289" s="183"/>
      <c r="G289" s="228"/>
      <c r="H289" s="7"/>
      <c r="I289" s="51"/>
      <c r="J289" s="50"/>
      <c r="K289" s="7"/>
      <c r="L289" s="51"/>
      <c r="M289" s="50"/>
      <c r="N289" s="7"/>
      <c r="O289" s="51"/>
      <c r="P289" s="129"/>
      <c r="Q289" s="127"/>
    </row>
    <row r="290" spans="1:17" ht="12.75">
      <c r="A290" s="74" t="s">
        <v>91</v>
      </c>
      <c r="B290" s="165"/>
      <c r="C290" s="184">
        <v>137599.9</v>
      </c>
      <c r="D290" s="182">
        <f>12811+100+206-1082.4+300</f>
        <v>12334.6</v>
      </c>
      <c r="E290" s="182"/>
      <c r="F290" s="183">
        <f aca="true" t="shared" si="51" ref="F290:F296">C290+D290+E290</f>
        <v>149934.5</v>
      </c>
      <c r="G290" s="228"/>
      <c r="H290" s="7"/>
      <c r="I290" s="51">
        <f>F290+G290+H290</f>
        <v>149934.5</v>
      </c>
      <c r="J290" s="50"/>
      <c r="K290" s="7"/>
      <c r="L290" s="51">
        <f>I290+J290+K290</f>
        <v>149934.5</v>
      </c>
      <c r="M290" s="50"/>
      <c r="N290" s="7"/>
      <c r="O290" s="51">
        <f>L290+M290+N290</f>
        <v>149934.5</v>
      </c>
      <c r="P290" s="129"/>
      <c r="Q290" s="127">
        <f aca="true" t="shared" si="52" ref="Q290:Q296">O290+P290</f>
        <v>149934.5</v>
      </c>
    </row>
    <row r="291" spans="1:17" ht="12.75">
      <c r="A291" s="74" t="s">
        <v>64</v>
      </c>
      <c r="B291" s="165"/>
      <c r="C291" s="184">
        <v>18564.5</v>
      </c>
      <c r="D291" s="182">
        <f>-4714+185-100+178-300</f>
        <v>-4751</v>
      </c>
      <c r="E291" s="182"/>
      <c r="F291" s="183">
        <f t="shared" si="51"/>
        <v>13813.5</v>
      </c>
      <c r="G291" s="228"/>
      <c r="H291" s="7"/>
      <c r="I291" s="51">
        <f aca="true" t="shared" si="53" ref="I291:I296">F291+G291+H291</f>
        <v>13813.5</v>
      </c>
      <c r="J291" s="50"/>
      <c r="K291" s="7"/>
      <c r="L291" s="51">
        <f aca="true" t="shared" si="54" ref="L291:L296">I291+J291+K291</f>
        <v>13813.5</v>
      </c>
      <c r="M291" s="50"/>
      <c r="N291" s="7"/>
      <c r="O291" s="51">
        <f aca="true" t="shared" si="55" ref="O291:O296">L291+M291+N291</f>
        <v>13813.5</v>
      </c>
      <c r="P291" s="129"/>
      <c r="Q291" s="127">
        <f t="shared" si="52"/>
        <v>13813.5</v>
      </c>
    </row>
    <row r="292" spans="1:17" ht="12.75">
      <c r="A292" s="74" t="s">
        <v>158</v>
      </c>
      <c r="B292" s="165"/>
      <c r="C292" s="184">
        <v>3294</v>
      </c>
      <c r="D292" s="182"/>
      <c r="E292" s="182"/>
      <c r="F292" s="183">
        <f t="shared" si="51"/>
        <v>3294</v>
      </c>
      <c r="G292" s="228"/>
      <c r="H292" s="7"/>
      <c r="I292" s="51">
        <f t="shared" si="53"/>
        <v>3294</v>
      </c>
      <c r="J292" s="50"/>
      <c r="K292" s="7"/>
      <c r="L292" s="51">
        <f t="shared" si="54"/>
        <v>3294</v>
      </c>
      <c r="M292" s="50"/>
      <c r="N292" s="7"/>
      <c r="O292" s="51">
        <f t="shared" si="55"/>
        <v>3294</v>
      </c>
      <c r="P292" s="129"/>
      <c r="Q292" s="127">
        <f t="shared" si="52"/>
        <v>3294</v>
      </c>
    </row>
    <row r="293" spans="1:17" ht="12.75">
      <c r="A293" s="81" t="s">
        <v>79</v>
      </c>
      <c r="B293" s="168"/>
      <c r="C293" s="194"/>
      <c r="D293" s="195">
        <f>4714</f>
        <v>4714</v>
      </c>
      <c r="E293" s="195"/>
      <c r="F293" s="246">
        <f t="shared" si="51"/>
        <v>4714</v>
      </c>
      <c r="G293" s="228"/>
      <c r="H293" s="7"/>
      <c r="I293" s="51">
        <f t="shared" si="53"/>
        <v>4714</v>
      </c>
      <c r="J293" s="50"/>
      <c r="K293" s="7"/>
      <c r="L293" s="51">
        <f t="shared" si="54"/>
        <v>4714</v>
      </c>
      <c r="M293" s="50"/>
      <c r="N293" s="7"/>
      <c r="O293" s="51">
        <f t="shared" si="55"/>
        <v>4714</v>
      </c>
      <c r="P293" s="129"/>
      <c r="Q293" s="127">
        <f t="shared" si="52"/>
        <v>4714</v>
      </c>
    </row>
    <row r="294" spans="1:17" ht="12.75" hidden="1">
      <c r="A294" s="74" t="s">
        <v>116</v>
      </c>
      <c r="B294" s="165">
        <v>34070</v>
      </c>
      <c r="C294" s="184"/>
      <c r="D294" s="182"/>
      <c r="E294" s="182"/>
      <c r="F294" s="183">
        <f t="shared" si="51"/>
        <v>0</v>
      </c>
      <c r="G294" s="228"/>
      <c r="H294" s="7"/>
      <c r="I294" s="51">
        <f t="shared" si="53"/>
        <v>0</v>
      </c>
      <c r="J294" s="50"/>
      <c r="K294" s="7"/>
      <c r="L294" s="51">
        <f t="shared" si="54"/>
        <v>0</v>
      </c>
      <c r="M294" s="50"/>
      <c r="N294" s="7"/>
      <c r="O294" s="51">
        <f t="shared" si="55"/>
        <v>0</v>
      </c>
      <c r="P294" s="129"/>
      <c r="Q294" s="127">
        <f t="shared" si="52"/>
        <v>0</v>
      </c>
    </row>
    <row r="295" spans="1:17" ht="12.75" hidden="1">
      <c r="A295" s="74" t="s">
        <v>117</v>
      </c>
      <c r="B295" s="165">
        <v>34053</v>
      </c>
      <c r="C295" s="184"/>
      <c r="D295" s="182"/>
      <c r="E295" s="195"/>
      <c r="F295" s="183">
        <f t="shared" si="51"/>
        <v>0</v>
      </c>
      <c r="G295" s="228"/>
      <c r="H295" s="7"/>
      <c r="I295" s="51">
        <f t="shared" si="53"/>
        <v>0</v>
      </c>
      <c r="J295" s="50"/>
      <c r="K295" s="7"/>
      <c r="L295" s="51">
        <f t="shared" si="54"/>
        <v>0</v>
      </c>
      <c r="M295" s="50"/>
      <c r="N295" s="7"/>
      <c r="O295" s="51">
        <f t="shared" si="55"/>
        <v>0</v>
      </c>
      <c r="P295" s="129"/>
      <c r="Q295" s="127">
        <f t="shared" si="52"/>
        <v>0</v>
      </c>
    </row>
    <row r="296" spans="1:17" ht="12.75" hidden="1">
      <c r="A296" s="74" t="s">
        <v>95</v>
      </c>
      <c r="B296" s="165"/>
      <c r="C296" s="184"/>
      <c r="D296" s="182"/>
      <c r="E296" s="182"/>
      <c r="F296" s="183">
        <f t="shared" si="51"/>
        <v>0</v>
      </c>
      <c r="G296" s="228"/>
      <c r="H296" s="7"/>
      <c r="I296" s="51">
        <f t="shared" si="53"/>
        <v>0</v>
      </c>
      <c r="J296" s="50"/>
      <c r="K296" s="7"/>
      <c r="L296" s="51">
        <f t="shared" si="54"/>
        <v>0</v>
      </c>
      <c r="M296" s="50"/>
      <c r="N296" s="7"/>
      <c r="O296" s="51">
        <f t="shared" si="55"/>
        <v>0</v>
      </c>
      <c r="P296" s="129"/>
      <c r="Q296" s="127">
        <f t="shared" si="52"/>
        <v>0</v>
      </c>
    </row>
    <row r="297" spans="1:17" ht="12.75" hidden="1">
      <c r="A297" s="76" t="s">
        <v>67</v>
      </c>
      <c r="B297" s="169"/>
      <c r="C297" s="191">
        <f>SUM(C299:C302)</f>
        <v>0</v>
      </c>
      <c r="D297" s="192">
        <f>SUM(D299:D302)</f>
        <v>0</v>
      </c>
      <c r="E297" s="192"/>
      <c r="F297" s="193">
        <f>SUM(F299:F302)</f>
        <v>0</v>
      </c>
      <c r="G297" s="231"/>
      <c r="H297" s="12"/>
      <c r="I297" s="59">
        <f>SUM(I299:I302)</f>
        <v>0</v>
      </c>
      <c r="J297" s="58"/>
      <c r="K297" s="12"/>
      <c r="L297" s="59">
        <f>SUM(L299:L302)</f>
        <v>0</v>
      </c>
      <c r="M297" s="58"/>
      <c r="N297" s="12"/>
      <c r="O297" s="59">
        <f>SUM(O299:O302)</f>
        <v>0</v>
      </c>
      <c r="P297" s="134"/>
      <c r="Q297" s="108">
        <f>SUM(Q299:Q302)</f>
        <v>0</v>
      </c>
    </row>
    <row r="298" spans="1:17" ht="12.75" hidden="1">
      <c r="A298" s="72" t="s">
        <v>33</v>
      </c>
      <c r="B298" s="165"/>
      <c r="C298" s="184"/>
      <c r="D298" s="182"/>
      <c r="E298" s="182"/>
      <c r="F298" s="183"/>
      <c r="G298" s="228"/>
      <c r="H298" s="7"/>
      <c r="I298" s="51"/>
      <c r="J298" s="50"/>
      <c r="K298" s="7"/>
      <c r="L298" s="51"/>
      <c r="M298" s="50"/>
      <c r="N298" s="7"/>
      <c r="O298" s="51"/>
      <c r="P298" s="129"/>
      <c r="Q298" s="127"/>
    </row>
    <row r="299" spans="1:17" ht="12.75" hidden="1">
      <c r="A299" s="74" t="s">
        <v>117</v>
      </c>
      <c r="B299" s="165">
        <v>34544</v>
      </c>
      <c r="C299" s="184"/>
      <c r="D299" s="182"/>
      <c r="E299" s="182"/>
      <c r="F299" s="183">
        <f>C299+D299+E299</f>
        <v>0</v>
      </c>
      <c r="G299" s="228"/>
      <c r="H299" s="7"/>
      <c r="I299" s="51"/>
      <c r="J299" s="50"/>
      <c r="K299" s="7"/>
      <c r="L299" s="51">
        <f>I299+J299+K299</f>
        <v>0</v>
      </c>
      <c r="M299" s="50"/>
      <c r="N299" s="7"/>
      <c r="O299" s="51">
        <f>L299+M299+N299</f>
        <v>0</v>
      </c>
      <c r="P299" s="129"/>
      <c r="Q299" s="127">
        <f>O299+P299</f>
        <v>0</v>
      </c>
    </row>
    <row r="300" spans="1:17" ht="12.75" hidden="1">
      <c r="A300" s="114" t="s">
        <v>83</v>
      </c>
      <c r="B300" s="165"/>
      <c r="C300" s="184"/>
      <c r="D300" s="182"/>
      <c r="E300" s="182"/>
      <c r="F300" s="183">
        <f>C300+D300+E300</f>
        <v>0</v>
      </c>
      <c r="G300" s="228"/>
      <c r="H300" s="7"/>
      <c r="I300" s="51">
        <f>F300+G300+H300</f>
        <v>0</v>
      </c>
      <c r="J300" s="50"/>
      <c r="K300" s="7"/>
      <c r="L300" s="51">
        <f>I300+J300+K300</f>
        <v>0</v>
      </c>
      <c r="M300" s="50"/>
      <c r="N300" s="7"/>
      <c r="O300" s="51">
        <f>L300+M300+N300</f>
        <v>0</v>
      </c>
      <c r="P300" s="129"/>
      <c r="Q300" s="127">
        <f>O300+P300</f>
        <v>0</v>
      </c>
    </row>
    <row r="301" spans="1:17" ht="12.75" hidden="1">
      <c r="A301" s="114" t="s">
        <v>68</v>
      </c>
      <c r="B301" s="165"/>
      <c r="C301" s="184"/>
      <c r="D301" s="182"/>
      <c r="E301" s="182"/>
      <c r="F301" s="183">
        <f>C301+D301+E301</f>
        <v>0</v>
      </c>
      <c r="G301" s="228"/>
      <c r="H301" s="7"/>
      <c r="I301" s="51"/>
      <c r="J301" s="50"/>
      <c r="K301" s="7"/>
      <c r="L301" s="51">
        <f>I301+J301+K301</f>
        <v>0</v>
      </c>
      <c r="M301" s="50"/>
      <c r="N301" s="7"/>
      <c r="O301" s="51">
        <f>L301+M301+N301</f>
        <v>0</v>
      </c>
      <c r="P301" s="129"/>
      <c r="Q301" s="127">
        <f>O301+P301</f>
        <v>0</v>
      </c>
    </row>
    <row r="302" spans="1:17" ht="13.5" hidden="1" thickBot="1">
      <c r="A302" s="253" t="s">
        <v>95</v>
      </c>
      <c r="B302" s="249"/>
      <c r="C302" s="250"/>
      <c r="D302" s="251"/>
      <c r="E302" s="251"/>
      <c r="F302" s="252">
        <f>C302+D302+E302</f>
        <v>0</v>
      </c>
      <c r="G302" s="16"/>
      <c r="H302" s="10"/>
      <c r="I302" s="55">
        <f>F302+G302+H302</f>
        <v>0</v>
      </c>
      <c r="J302" s="54"/>
      <c r="K302" s="10"/>
      <c r="L302" s="55">
        <f>I302+J302+K302</f>
        <v>0</v>
      </c>
      <c r="M302" s="122"/>
      <c r="N302" s="10"/>
      <c r="O302" s="55">
        <f>L302+M302+N302</f>
        <v>0</v>
      </c>
      <c r="P302" s="142"/>
      <c r="Q302" s="143">
        <f>O302+P302</f>
        <v>0</v>
      </c>
    </row>
    <row r="303" spans="1:17" ht="12.75">
      <c r="A303" s="82" t="s">
        <v>212</v>
      </c>
      <c r="B303" s="170"/>
      <c r="C303" s="179">
        <f>C304+C328</f>
        <v>389067</v>
      </c>
      <c r="D303" s="180">
        <f>D304+D328</f>
        <v>1009118.1599999999</v>
      </c>
      <c r="E303" s="180">
        <f>E304+E328</f>
        <v>0</v>
      </c>
      <c r="F303" s="181">
        <f>F304+F328</f>
        <v>1398185.1600000001</v>
      </c>
      <c r="G303" s="228"/>
      <c r="H303" s="7"/>
      <c r="I303" s="51"/>
      <c r="J303" s="50"/>
      <c r="K303" s="7"/>
      <c r="L303" s="51"/>
      <c r="M303" s="65"/>
      <c r="N303" s="7"/>
      <c r="O303" s="51"/>
      <c r="P303" s="129"/>
      <c r="Q303" s="127"/>
    </row>
    <row r="304" spans="1:17" ht="12.75">
      <c r="A304" s="76" t="s">
        <v>62</v>
      </c>
      <c r="B304" s="169"/>
      <c r="C304" s="191">
        <f>SUM(C306:C316)</f>
        <v>58906</v>
      </c>
      <c r="D304" s="192">
        <f>SUM(D306:D316)</f>
        <v>80514.7</v>
      </c>
      <c r="E304" s="192">
        <f>SUM(E306:E316)</f>
        <v>0</v>
      </c>
      <c r="F304" s="193">
        <f>SUM(F306:F316)</f>
        <v>139420.7</v>
      </c>
      <c r="G304" s="228"/>
      <c r="H304" s="7"/>
      <c r="I304" s="51"/>
      <c r="J304" s="50"/>
      <c r="K304" s="7"/>
      <c r="L304" s="51"/>
      <c r="M304" s="65"/>
      <c r="N304" s="7"/>
      <c r="O304" s="51"/>
      <c r="P304" s="129"/>
      <c r="Q304" s="127"/>
    </row>
    <row r="305" spans="1:17" ht="12.75">
      <c r="A305" s="72" t="s">
        <v>33</v>
      </c>
      <c r="B305" s="165"/>
      <c r="C305" s="191"/>
      <c r="D305" s="222"/>
      <c r="E305" s="222"/>
      <c r="F305" s="193"/>
      <c r="G305" s="228"/>
      <c r="H305" s="7"/>
      <c r="I305" s="51"/>
      <c r="J305" s="50"/>
      <c r="K305" s="7"/>
      <c r="L305" s="51"/>
      <c r="M305" s="65"/>
      <c r="N305" s="7"/>
      <c r="O305" s="51"/>
      <c r="P305" s="129"/>
      <c r="Q305" s="127"/>
    </row>
    <row r="306" spans="1:17" ht="12.75">
      <c r="A306" s="74" t="s">
        <v>64</v>
      </c>
      <c r="B306" s="165"/>
      <c r="C306" s="184">
        <v>1582</v>
      </c>
      <c r="D306" s="199"/>
      <c r="E306" s="199"/>
      <c r="F306" s="183">
        <f aca="true" t="shared" si="56" ref="F306:F327">C306+D306+E306</f>
        <v>1582</v>
      </c>
      <c r="G306" s="228"/>
      <c r="H306" s="7"/>
      <c r="I306" s="51"/>
      <c r="J306" s="50"/>
      <c r="K306" s="7"/>
      <c r="L306" s="51"/>
      <c r="M306" s="65"/>
      <c r="N306" s="7"/>
      <c r="O306" s="51"/>
      <c r="P306" s="129"/>
      <c r="Q306" s="127"/>
    </row>
    <row r="307" spans="1:17" ht="12.75">
      <c r="A307" s="74" t="s">
        <v>223</v>
      </c>
      <c r="B307" s="165"/>
      <c r="C307" s="184"/>
      <c r="D307" s="199">
        <f>2721.15</f>
        <v>2721.15</v>
      </c>
      <c r="E307" s="199"/>
      <c r="F307" s="183">
        <f t="shared" si="56"/>
        <v>2721.15</v>
      </c>
      <c r="G307" s="228"/>
      <c r="H307" s="7"/>
      <c r="I307" s="51"/>
      <c r="J307" s="50"/>
      <c r="K307" s="7"/>
      <c r="L307" s="51"/>
      <c r="M307" s="65"/>
      <c r="N307" s="7"/>
      <c r="O307" s="51"/>
      <c r="P307" s="129"/>
      <c r="Q307" s="127"/>
    </row>
    <row r="308" spans="1:17" ht="12.75">
      <c r="A308" s="74" t="s">
        <v>224</v>
      </c>
      <c r="B308" s="165"/>
      <c r="C308" s="184">
        <v>3090</v>
      </c>
      <c r="D308" s="199">
        <f>1114.3</f>
        <v>1114.3</v>
      </c>
      <c r="E308" s="199"/>
      <c r="F308" s="183">
        <f t="shared" si="56"/>
        <v>4204.3</v>
      </c>
      <c r="G308" s="228"/>
      <c r="H308" s="7"/>
      <c r="I308" s="51"/>
      <c r="J308" s="50"/>
      <c r="K308" s="7"/>
      <c r="L308" s="51"/>
      <c r="M308" s="65"/>
      <c r="N308" s="7"/>
      <c r="O308" s="51"/>
      <c r="P308" s="129"/>
      <c r="Q308" s="127"/>
    </row>
    <row r="309" spans="1:17" ht="12.75">
      <c r="A309" s="166" t="s">
        <v>98</v>
      </c>
      <c r="B309" s="165"/>
      <c r="C309" s="184">
        <v>600</v>
      </c>
      <c r="D309" s="199"/>
      <c r="E309" s="199"/>
      <c r="F309" s="183">
        <f t="shared" si="56"/>
        <v>600</v>
      </c>
      <c r="G309" s="228"/>
      <c r="H309" s="7"/>
      <c r="I309" s="51"/>
      <c r="J309" s="50"/>
      <c r="K309" s="7"/>
      <c r="L309" s="51"/>
      <c r="M309" s="65"/>
      <c r="N309" s="7"/>
      <c r="O309" s="51"/>
      <c r="P309" s="129"/>
      <c r="Q309" s="127"/>
    </row>
    <row r="310" spans="1:17" ht="12.75">
      <c r="A310" s="70" t="s">
        <v>236</v>
      </c>
      <c r="B310" s="165"/>
      <c r="C310" s="184">
        <v>6400</v>
      </c>
      <c r="D310" s="199"/>
      <c r="E310" s="199"/>
      <c r="F310" s="183">
        <f t="shared" si="56"/>
        <v>6400</v>
      </c>
      <c r="G310" s="228"/>
      <c r="H310" s="7"/>
      <c r="I310" s="51"/>
      <c r="J310" s="50"/>
      <c r="K310" s="7"/>
      <c r="L310" s="51"/>
      <c r="M310" s="65"/>
      <c r="N310" s="7"/>
      <c r="O310" s="51"/>
      <c r="P310" s="129"/>
      <c r="Q310" s="127"/>
    </row>
    <row r="311" spans="1:17" ht="12.75">
      <c r="A311" s="74" t="s">
        <v>237</v>
      </c>
      <c r="B311" s="165"/>
      <c r="C311" s="184">
        <v>3500</v>
      </c>
      <c r="D311" s="199"/>
      <c r="E311" s="199"/>
      <c r="F311" s="183">
        <f t="shared" si="56"/>
        <v>3500</v>
      </c>
      <c r="G311" s="228"/>
      <c r="H311" s="7"/>
      <c r="I311" s="51"/>
      <c r="J311" s="50"/>
      <c r="K311" s="7"/>
      <c r="L311" s="51"/>
      <c r="M311" s="65"/>
      <c r="N311" s="7"/>
      <c r="O311" s="51"/>
      <c r="P311" s="129"/>
      <c r="Q311" s="127"/>
    </row>
    <row r="312" spans="1:17" ht="12.75" hidden="1">
      <c r="A312" s="74" t="s">
        <v>316</v>
      </c>
      <c r="B312" s="165"/>
      <c r="C312" s="184"/>
      <c r="D312" s="199"/>
      <c r="E312" s="199"/>
      <c r="F312" s="183">
        <f t="shared" si="56"/>
        <v>0</v>
      </c>
      <c r="G312" s="228"/>
      <c r="H312" s="7"/>
      <c r="I312" s="51"/>
      <c r="J312" s="50"/>
      <c r="K312" s="7"/>
      <c r="L312" s="51"/>
      <c r="M312" s="65"/>
      <c r="N312" s="7"/>
      <c r="O312" s="51"/>
      <c r="P312" s="129"/>
      <c r="Q312" s="127"/>
    </row>
    <row r="313" spans="1:17" ht="12.75">
      <c r="A313" s="74" t="s">
        <v>322</v>
      </c>
      <c r="B313" s="165"/>
      <c r="C313" s="184"/>
      <c r="D313" s="199">
        <f>482.7</f>
        <v>482.7</v>
      </c>
      <c r="E313" s="199"/>
      <c r="F313" s="183">
        <f t="shared" si="56"/>
        <v>482.7</v>
      </c>
      <c r="G313" s="228"/>
      <c r="H313" s="7"/>
      <c r="I313" s="51"/>
      <c r="J313" s="50"/>
      <c r="K313" s="7"/>
      <c r="L313" s="51"/>
      <c r="M313" s="65"/>
      <c r="N313" s="7"/>
      <c r="O313" s="51"/>
      <c r="P313" s="129"/>
      <c r="Q313" s="127"/>
    </row>
    <row r="314" spans="1:17" ht="12.75">
      <c r="A314" s="70" t="s">
        <v>262</v>
      </c>
      <c r="B314" s="265">
        <v>212163</v>
      </c>
      <c r="C314" s="184"/>
      <c r="D314" s="199">
        <f>2165.82</f>
        <v>2165.82</v>
      </c>
      <c r="E314" s="199"/>
      <c r="F314" s="183">
        <f t="shared" si="56"/>
        <v>2165.82</v>
      </c>
      <c r="G314" s="228"/>
      <c r="H314" s="7"/>
      <c r="I314" s="51"/>
      <c r="J314" s="50"/>
      <c r="K314" s="7"/>
      <c r="L314" s="51"/>
      <c r="M314" s="65"/>
      <c r="N314" s="7"/>
      <c r="O314" s="51"/>
      <c r="P314" s="129"/>
      <c r="Q314" s="127"/>
    </row>
    <row r="315" spans="1:17" ht="12.75">
      <c r="A315" s="74" t="s">
        <v>216</v>
      </c>
      <c r="B315" s="265">
        <v>212162</v>
      </c>
      <c r="C315" s="184"/>
      <c r="D315" s="199">
        <f>658.97</f>
        <v>658.97</v>
      </c>
      <c r="E315" s="199"/>
      <c r="F315" s="183">
        <f t="shared" si="56"/>
        <v>658.97</v>
      </c>
      <c r="G315" s="228"/>
      <c r="H315" s="7"/>
      <c r="I315" s="51"/>
      <c r="J315" s="50"/>
      <c r="K315" s="7"/>
      <c r="L315" s="51"/>
      <c r="M315" s="65"/>
      <c r="N315" s="7"/>
      <c r="O315" s="51"/>
      <c r="P315" s="129"/>
      <c r="Q315" s="127"/>
    </row>
    <row r="316" spans="1:17" ht="12.75">
      <c r="A316" s="70" t="s">
        <v>95</v>
      </c>
      <c r="B316" s="165"/>
      <c r="C316" s="256">
        <f>SUM(C317:C327)</f>
        <v>43734</v>
      </c>
      <c r="D316" s="199">
        <f>SUM(D317:D327)</f>
        <v>73371.76</v>
      </c>
      <c r="E316" s="199">
        <f>SUM(E317:E327)</f>
        <v>0</v>
      </c>
      <c r="F316" s="183">
        <f>C316+D316+E316</f>
        <v>117105.76</v>
      </c>
      <c r="G316" s="228"/>
      <c r="H316" s="7"/>
      <c r="I316" s="51"/>
      <c r="J316" s="50"/>
      <c r="K316" s="7"/>
      <c r="L316" s="51"/>
      <c r="M316" s="65"/>
      <c r="N316" s="7"/>
      <c r="O316" s="51"/>
      <c r="P316" s="129"/>
      <c r="Q316" s="127"/>
    </row>
    <row r="317" spans="1:17" ht="12.75">
      <c r="A317" s="70" t="s">
        <v>297</v>
      </c>
      <c r="B317" s="165"/>
      <c r="C317" s="200">
        <v>35450</v>
      </c>
      <c r="D317" s="199">
        <f>12447.5+4465.69</f>
        <v>16913.19</v>
      </c>
      <c r="E317" s="182"/>
      <c r="F317" s="183">
        <f t="shared" si="56"/>
        <v>52363.19</v>
      </c>
      <c r="G317" s="228"/>
      <c r="H317" s="7"/>
      <c r="I317" s="51"/>
      <c r="J317" s="50"/>
      <c r="K317" s="7"/>
      <c r="L317" s="51"/>
      <c r="M317" s="65"/>
      <c r="N317" s="7"/>
      <c r="O317" s="51"/>
      <c r="P317" s="129"/>
      <c r="Q317" s="127"/>
    </row>
    <row r="318" spans="1:17" ht="12.75">
      <c r="A318" s="70" t="s">
        <v>235</v>
      </c>
      <c r="B318" s="165"/>
      <c r="C318" s="200"/>
      <c r="D318" s="199">
        <f>10502.38+7976.61</f>
        <v>18478.989999999998</v>
      </c>
      <c r="E318" s="182"/>
      <c r="F318" s="183">
        <f t="shared" si="56"/>
        <v>18478.989999999998</v>
      </c>
      <c r="G318" s="228"/>
      <c r="H318" s="7"/>
      <c r="I318" s="51"/>
      <c r="J318" s="50"/>
      <c r="K318" s="7"/>
      <c r="L318" s="51"/>
      <c r="M318" s="65"/>
      <c r="N318" s="7"/>
      <c r="O318" s="51"/>
      <c r="P318" s="129"/>
      <c r="Q318" s="127"/>
    </row>
    <row r="319" spans="1:17" ht="12.75" hidden="1">
      <c r="A319" s="70" t="s">
        <v>281</v>
      </c>
      <c r="B319" s="165"/>
      <c r="C319" s="200"/>
      <c r="D319" s="223"/>
      <c r="E319" s="182"/>
      <c r="F319" s="183">
        <f t="shared" si="56"/>
        <v>0</v>
      </c>
      <c r="G319" s="228"/>
      <c r="H319" s="7"/>
      <c r="I319" s="51"/>
      <c r="J319" s="50"/>
      <c r="K319" s="7"/>
      <c r="L319" s="51"/>
      <c r="M319" s="65"/>
      <c r="N319" s="7"/>
      <c r="O319" s="51"/>
      <c r="P319" s="129"/>
      <c r="Q319" s="127"/>
    </row>
    <row r="320" spans="1:17" ht="12.75" hidden="1">
      <c r="A320" s="70" t="s">
        <v>275</v>
      </c>
      <c r="B320" s="165"/>
      <c r="C320" s="200"/>
      <c r="D320" s="199"/>
      <c r="E320" s="182"/>
      <c r="F320" s="183">
        <f t="shared" si="56"/>
        <v>0</v>
      </c>
      <c r="G320" s="228"/>
      <c r="H320" s="7"/>
      <c r="I320" s="51"/>
      <c r="J320" s="50"/>
      <c r="K320" s="7"/>
      <c r="L320" s="51"/>
      <c r="M320" s="65"/>
      <c r="N320" s="7"/>
      <c r="O320" s="51"/>
      <c r="P320" s="129"/>
      <c r="Q320" s="127"/>
    </row>
    <row r="321" spans="1:17" ht="12.75">
      <c r="A321" s="70" t="s">
        <v>319</v>
      </c>
      <c r="B321" s="165"/>
      <c r="C321" s="200"/>
      <c r="D321" s="199">
        <f>40745.16</f>
        <v>40745.16</v>
      </c>
      <c r="E321" s="182"/>
      <c r="F321" s="183">
        <f t="shared" si="56"/>
        <v>40745.16</v>
      </c>
      <c r="G321" s="228"/>
      <c r="H321" s="7"/>
      <c r="I321" s="51"/>
      <c r="J321" s="50"/>
      <c r="K321" s="7"/>
      <c r="L321" s="51"/>
      <c r="M321" s="65"/>
      <c r="N321" s="7"/>
      <c r="O321" s="51"/>
      <c r="P321" s="129"/>
      <c r="Q321" s="127"/>
    </row>
    <row r="322" spans="1:17" ht="12.75">
      <c r="A322" s="70" t="s">
        <v>234</v>
      </c>
      <c r="B322" s="165"/>
      <c r="C322" s="200"/>
      <c r="D322" s="199">
        <f>340.4+6.33</f>
        <v>346.72999999999996</v>
      </c>
      <c r="E322" s="182"/>
      <c r="F322" s="183">
        <f t="shared" si="56"/>
        <v>346.72999999999996</v>
      </c>
      <c r="G322" s="228"/>
      <c r="H322" s="7"/>
      <c r="I322" s="51"/>
      <c r="J322" s="50"/>
      <c r="K322" s="7"/>
      <c r="L322" s="51"/>
      <c r="M322" s="65"/>
      <c r="N322" s="7"/>
      <c r="O322" s="51"/>
      <c r="P322" s="129"/>
      <c r="Q322" s="127"/>
    </row>
    <row r="323" spans="1:17" ht="12.75">
      <c r="A323" s="70" t="s">
        <v>238</v>
      </c>
      <c r="B323" s="165"/>
      <c r="C323" s="200"/>
      <c r="D323" s="199">
        <f>2617.13</f>
        <v>2617.13</v>
      </c>
      <c r="E323" s="182"/>
      <c r="F323" s="183">
        <f t="shared" si="56"/>
        <v>2617.13</v>
      </c>
      <c r="G323" s="228"/>
      <c r="H323" s="7"/>
      <c r="I323" s="51"/>
      <c r="J323" s="50"/>
      <c r="K323" s="7"/>
      <c r="L323" s="51"/>
      <c r="M323" s="65"/>
      <c r="N323" s="7"/>
      <c r="O323" s="51"/>
      <c r="P323" s="129"/>
      <c r="Q323" s="127"/>
    </row>
    <row r="324" spans="1:17" ht="12.75" hidden="1">
      <c r="A324" s="70" t="s">
        <v>244</v>
      </c>
      <c r="B324" s="165"/>
      <c r="C324" s="200"/>
      <c r="D324" s="199"/>
      <c r="E324" s="182"/>
      <c r="F324" s="183">
        <f t="shared" si="56"/>
        <v>0</v>
      </c>
      <c r="G324" s="228"/>
      <c r="H324" s="7"/>
      <c r="I324" s="51"/>
      <c r="J324" s="50"/>
      <c r="K324" s="7"/>
      <c r="L324" s="51"/>
      <c r="M324" s="65"/>
      <c r="N324" s="7"/>
      <c r="O324" s="51"/>
      <c r="P324" s="129"/>
      <c r="Q324" s="127"/>
    </row>
    <row r="325" spans="1:17" ht="12.75">
      <c r="A325" s="70" t="s">
        <v>242</v>
      </c>
      <c r="B325" s="165"/>
      <c r="C325" s="200">
        <v>6163</v>
      </c>
      <c r="D325" s="199">
        <f>-5794+214.56</f>
        <v>-5579.44</v>
      </c>
      <c r="E325" s="182"/>
      <c r="F325" s="183">
        <f t="shared" si="56"/>
        <v>583.5600000000004</v>
      </c>
      <c r="G325" s="228"/>
      <c r="H325" s="7"/>
      <c r="I325" s="51"/>
      <c r="J325" s="50"/>
      <c r="K325" s="7"/>
      <c r="L325" s="51"/>
      <c r="M325" s="65"/>
      <c r="N325" s="7"/>
      <c r="O325" s="51"/>
      <c r="P325" s="129"/>
      <c r="Q325" s="127"/>
    </row>
    <row r="326" spans="1:17" ht="12.75">
      <c r="A326" s="70" t="s">
        <v>282</v>
      </c>
      <c r="B326" s="165"/>
      <c r="C326" s="200">
        <v>2121</v>
      </c>
      <c r="D326" s="199">
        <f>-250+1595-850-300-345</f>
        <v>-150</v>
      </c>
      <c r="E326" s="182"/>
      <c r="F326" s="183">
        <f t="shared" si="56"/>
        <v>1971</v>
      </c>
      <c r="G326" s="228"/>
      <c r="H326" s="7"/>
      <c r="I326" s="51"/>
      <c r="J326" s="50"/>
      <c r="K326" s="7"/>
      <c r="L326" s="51"/>
      <c r="M326" s="65"/>
      <c r="N326" s="7"/>
      <c r="O326" s="51"/>
      <c r="P326" s="129"/>
      <c r="Q326" s="127"/>
    </row>
    <row r="327" spans="1:17" ht="12.75" hidden="1">
      <c r="A327" s="70" t="s">
        <v>345</v>
      </c>
      <c r="B327" s="165"/>
      <c r="C327" s="200"/>
      <c r="D327" s="223"/>
      <c r="E327" s="182"/>
      <c r="F327" s="183">
        <f t="shared" si="56"/>
        <v>0</v>
      </c>
      <c r="G327" s="228"/>
      <c r="H327" s="7"/>
      <c r="I327" s="51"/>
      <c r="J327" s="50"/>
      <c r="K327" s="7"/>
      <c r="L327" s="51"/>
      <c r="M327" s="65"/>
      <c r="N327" s="7"/>
      <c r="O327" s="51"/>
      <c r="P327" s="129"/>
      <c r="Q327" s="127"/>
    </row>
    <row r="328" spans="1:17" ht="12.75">
      <c r="A328" s="76" t="s">
        <v>67</v>
      </c>
      <c r="B328" s="169"/>
      <c r="C328" s="191">
        <f>SUM(C330:C342)</f>
        <v>330161</v>
      </c>
      <c r="D328" s="192">
        <f>SUM(D330:D342)</f>
        <v>928603.46</v>
      </c>
      <c r="E328" s="192">
        <f>SUM(E330:E342)</f>
        <v>0</v>
      </c>
      <c r="F328" s="193">
        <f>SUM(F330:F342)</f>
        <v>1258764.4600000002</v>
      </c>
      <c r="G328" s="228"/>
      <c r="H328" s="7"/>
      <c r="I328" s="51"/>
      <c r="J328" s="50"/>
      <c r="K328" s="7"/>
      <c r="L328" s="51"/>
      <c r="M328" s="65"/>
      <c r="N328" s="7"/>
      <c r="O328" s="51"/>
      <c r="P328" s="129"/>
      <c r="Q328" s="127"/>
    </row>
    <row r="329" spans="1:17" ht="12.75">
      <c r="A329" s="74" t="s">
        <v>33</v>
      </c>
      <c r="B329" s="165"/>
      <c r="C329" s="184"/>
      <c r="D329" s="182"/>
      <c r="E329" s="182"/>
      <c r="F329" s="183"/>
      <c r="G329" s="228"/>
      <c r="H329" s="7"/>
      <c r="I329" s="51"/>
      <c r="J329" s="50"/>
      <c r="K329" s="7"/>
      <c r="L329" s="51"/>
      <c r="M329" s="65"/>
      <c r="N329" s="7"/>
      <c r="O329" s="51"/>
      <c r="P329" s="129"/>
      <c r="Q329" s="127"/>
    </row>
    <row r="330" spans="1:17" ht="12.75" hidden="1">
      <c r="A330" s="74" t="s">
        <v>225</v>
      </c>
      <c r="B330" s="165"/>
      <c r="C330" s="184"/>
      <c r="D330" s="182"/>
      <c r="E330" s="182"/>
      <c r="F330" s="183">
        <f aca="true" t="shared" si="57" ref="F330:F354">C330+D330+E330</f>
        <v>0</v>
      </c>
      <c r="G330" s="228"/>
      <c r="H330" s="7"/>
      <c r="I330" s="51"/>
      <c r="J330" s="50"/>
      <c r="K330" s="7"/>
      <c r="L330" s="51"/>
      <c r="M330" s="65"/>
      <c r="N330" s="7"/>
      <c r="O330" s="51"/>
      <c r="P330" s="129"/>
      <c r="Q330" s="127"/>
    </row>
    <row r="331" spans="1:17" ht="12.75">
      <c r="A331" s="74" t="s">
        <v>224</v>
      </c>
      <c r="B331" s="165"/>
      <c r="C331" s="184">
        <v>5136</v>
      </c>
      <c r="D331" s="182">
        <f>992.88</f>
        <v>992.88</v>
      </c>
      <c r="E331" s="182"/>
      <c r="F331" s="183">
        <f t="shared" si="57"/>
        <v>6128.88</v>
      </c>
      <c r="G331" s="228"/>
      <c r="H331" s="7"/>
      <c r="I331" s="51"/>
      <c r="J331" s="50"/>
      <c r="K331" s="7"/>
      <c r="L331" s="51"/>
      <c r="M331" s="65"/>
      <c r="N331" s="7"/>
      <c r="O331" s="51"/>
      <c r="P331" s="129"/>
      <c r="Q331" s="127"/>
    </row>
    <row r="332" spans="1:17" ht="12.75">
      <c r="A332" s="74" t="s">
        <v>215</v>
      </c>
      <c r="B332" s="165"/>
      <c r="C332" s="184">
        <v>13580</v>
      </c>
      <c r="D332" s="182">
        <f>600</f>
        <v>600</v>
      </c>
      <c r="E332" s="182"/>
      <c r="F332" s="183">
        <f t="shared" si="57"/>
        <v>14180</v>
      </c>
      <c r="G332" s="228"/>
      <c r="H332" s="7"/>
      <c r="I332" s="51"/>
      <c r="J332" s="50"/>
      <c r="K332" s="7"/>
      <c r="L332" s="51"/>
      <c r="M332" s="65"/>
      <c r="N332" s="7"/>
      <c r="O332" s="51"/>
      <c r="P332" s="129"/>
      <c r="Q332" s="127"/>
    </row>
    <row r="333" spans="1:17" ht="12.75" hidden="1">
      <c r="A333" s="74" t="s">
        <v>316</v>
      </c>
      <c r="B333" s="165">
        <v>3000</v>
      </c>
      <c r="C333" s="184"/>
      <c r="D333" s="199"/>
      <c r="E333" s="199"/>
      <c r="F333" s="183">
        <f t="shared" si="57"/>
        <v>0</v>
      </c>
      <c r="G333" s="228"/>
      <c r="H333" s="7"/>
      <c r="I333" s="51"/>
      <c r="J333" s="50"/>
      <c r="K333" s="7"/>
      <c r="L333" s="51"/>
      <c r="M333" s="65"/>
      <c r="N333" s="7"/>
      <c r="O333" s="51"/>
      <c r="P333" s="129"/>
      <c r="Q333" s="127"/>
    </row>
    <row r="334" spans="1:17" ht="12.75">
      <c r="A334" s="74" t="s">
        <v>294</v>
      </c>
      <c r="B334" s="165"/>
      <c r="C334" s="184"/>
      <c r="D334" s="199">
        <f>600+500</f>
        <v>1100</v>
      </c>
      <c r="E334" s="199"/>
      <c r="F334" s="183">
        <f t="shared" si="57"/>
        <v>1100</v>
      </c>
      <c r="G334" s="228"/>
      <c r="H334" s="7"/>
      <c r="I334" s="51"/>
      <c r="J334" s="50"/>
      <c r="K334" s="7"/>
      <c r="L334" s="51"/>
      <c r="M334" s="65"/>
      <c r="N334" s="7"/>
      <c r="O334" s="51"/>
      <c r="P334" s="129"/>
      <c r="Q334" s="127"/>
    </row>
    <row r="335" spans="1:17" ht="12.75">
      <c r="A335" s="263" t="s">
        <v>322</v>
      </c>
      <c r="B335" s="165"/>
      <c r="C335" s="184">
        <v>50000</v>
      </c>
      <c r="D335" s="223">
        <f>120936.33-46000</f>
        <v>74936.33</v>
      </c>
      <c r="E335" s="223"/>
      <c r="F335" s="183">
        <f t="shared" si="57"/>
        <v>124936.33</v>
      </c>
      <c r="G335" s="228"/>
      <c r="H335" s="7"/>
      <c r="I335" s="51"/>
      <c r="J335" s="50"/>
      <c r="K335" s="7"/>
      <c r="L335" s="51"/>
      <c r="M335" s="65"/>
      <c r="N335" s="7"/>
      <c r="O335" s="51"/>
      <c r="P335" s="129"/>
      <c r="Q335" s="127"/>
    </row>
    <row r="336" spans="1:17" ht="12.75" hidden="1">
      <c r="A336" s="74" t="s">
        <v>299</v>
      </c>
      <c r="B336" s="265">
        <v>212161</v>
      </c>
      <c r="C336" s="184"/>
      <c r="D336" s="199"/>
      <c r="E336" s="199"/>
      <c r="F336" s="183">
        <f t="shared" si="57"/>
        <v>0</v>
      </c>
      <c r="G336" s="228"/>
      <c r="H336" s="7"/>
      <c r="I336" s="51"/>
      <c r="J336" s="50"/>
      <c r="K336" s="7"/>
      <c r="L336" s="51"/>
      <c r="M336" s="65"/>
      <c r="N336" s="7"/>
      <c r="O336" s="51"/>
      <c r="P336" s="129"/>
      <c r="Q336" s="127"/>
    </row>
    <row r="337" spans="1:17" ht="12.75">
      <c r="A337" s="70" t="s">
        <v>298</v>
      </c>
      <c r="B337" s="265">
        <v>212163</v>
      </c>
      <c r="C337" s="184">
        <v>59070</v>
      </c>
      <c r="D337" s="199">
        <f>33451.08+8000</f>
        <v>41451.08</v>
      </c>
      <c r="E337" s="199"/>
      <c r="F337" s="183">
        <f t="shared" si="57"/>
        <v>100521.08</v>
      </c>
      <c r="G337" s="228"/>
      <c r="H337" s="7"/>
      <c r="I337" s="51"/>
      <c r="J337" s="50"/>
      <c r="K337" s="7"/>
      <c r="L337" s="51"/>
      <c r="M337" s="65"/>
      <c r="N337" s="7"/>
      <c r="O337" s="51"/>
      <c r="P337" s="129"/>
      <c r="Q337" s="127"/>
    </row>
    <row r="338" spans="1:17" ht="12.75">
      <c r="A338" s="74" t="s">
        <v>333</v>
      </c>
      <c r="B338" s="265">
        <v>97573</v>
      </c>
      <c r="C338" s="184"/>
      <c r="D338" s="199">
        <v>1698.56</v>
      </c>
      <c r="E338" s="199"/>
      <c r="F338" s="183">
        <f t="shared" si="57"/>
        <v>1698.56</v>
      </c>
      <c r="G338" s="228"/>
      <c r="H338" s="7"/>
      <c r="I338" s="51"/>
      <c r="J338" s="50"/>
      <c r="K338" s="7"/>
      <c r="L338" s="51"/>
      <c r="M338" s="65"/>
      <c r="N338" s="7"/>
      <c r="O338" s="51"/>
      <c r="P338" s="129"/>
      <c r="Q338" s="127"/>
    </row>
    <row r="339" spans="1:17" ht="12.75">
      <c r="A339" s="74" t="s">
        <v>216</v>
      </c>
      <c r="B339" s="265">
        <v>212162</v>
      </c>
      <c r="C339" s="184">
        <v>30000</v>
      </c>
      <c r="D339" s="199">
        <f>71857.18+590.5</f>
        <v>72447.68</v>
      </c>
      <c r="E339" s="199"/>
      <c r="F339" s="183">
        <f t="shared" si="57"/>
        <v>102447.68</v>
      </c>
      <c r="G339" s="228"/>
      <c r="H339" s="7"/>
      <c r="I339" s="51"/>
      <c r="J339" s="50"/>
      <c r="K339" s="7"/>
      <c r="L339" s="51"/>
      <c r="M339" s="65"/>
      <c r="N339" s="7"/>
      <c r="O339" s="51"/>
      <c r="P339" s="129"/>
      <c r="Q339" s="127"/>
    </row>
    <row r="340" spans="1:17" ht="12.75">
      <c r="A340" s="74" t="s">
        <v>93</v>
      </c>
      <c r="B340" s="265"/>
      <c r="C340" s="184"/>
      <c r="D340" s="199">
        <f>52007</f>
        <v>52007</v>
      </c>
      <c r="E340" s="199"/>
      <c r="F340" s="183">
        <f t="shared" si="57"/>
        <v>52007</v>
      </c>
      <c r="G340" s="228"/>
      <c r="H340" s="7"/>
      <c r="I340" s="51"/>
      <c r="J340" s="50"/>
      <c r="K340" s="7"/>
      <c r="L340" s="51"/>
      <c r="M340" s="65"/>
      <c r="N340" s="7"/>
      <c r="O340" s="51"/>
      <c r="P340" s="129"/>
      <c r="Q340" s="127"/>
    </row>
    <row r="341" spans="1:17" ht="12.75" hidden="1">
      <c r="A341" s="74" t="s">
        <v>270</v>
      </c>
      <c r="B341" s="165"/>
      <c r="C341" s="184"/>
      <c r="D341" s="199"/>
      <c r="E341" s="199"/>
      <c r="F341" s="183">
        <f t="shared" si="57"/>
        <v>0</v>
      </c>
      <c r="G341" s="228"/>
      <c r="H341" s="7"/>
      <c r="I341" s="51"/>
      <c r="J341" s="50"/>
      <c r="K341" s="7"/>
      <c r="L341" s="51"/>
      <c r="M341" s="65"/>
      <c r="N341" s="7"/>
      <c r="O341" s="51"/>
      <c r="P341" s="129"/>
      <c r="Q341" s="127"/>
    </row>
    <row r="342" spans="1:17" ht="12.75">
      <c r="A342" s="74" t="s">
        <v>217</v>
      </c>
      <c r="B342" s="165"/>
      <c r="C342" s="254">
        <f>SUM(C343:C354)</f>
        <v>172375</v>
      </c>
      <c r="D342" s="182">
        <f>SUM(D343:D354)</f>
        <v>683369.9299999999</v>
      </c>
      <c r="E342" s="255">
        <f>SUM(E343:E354)</f>
        <v>0</v>
      </c>
      <c r="F342" s="183">
        <f>SUM(F343:F354)</f>
        <v>855744.9300000002</v>
      </c>
      <c r="G342" s="228"/>
      <c r="H342" s="7"/>
      <c r="I342" s="51"/>
      <c r="J342" s="50"/>
      <c r="K342" s="7"/>
      <c r="L342" s="51"/>
      <c r="M342" s="65"/>
      <c r="N342" s="7"/>
      <c r="O342" s="51"/>
      <c r="P342" s="129"/>
      <c r="Q342" s="127"/>
    </row>
    <row r="343" spans="1:17" ht="12.75">
      <c r="A343" s="74" t="s">
        <v>218</v>
      </c>
      <c r="B343" s="165"/>
      <c r="C343" s="184">
        <v>26000</v>
      </c>
      <c r="D343" s="199">
        <f>28036.77</f>
        <v>28036.77</v>
      </c>
      <c r="E343" s="182"/>
      <c r="F343" s="183">
        <f t="shared" si="57"/>
        <v>54036.770000000004</v>
      </c>
      <c r="G343" s="228"/>
      <c r="H343" s="7"/>
      <c r="I343" s="51"/>
      <c r="J343" s="50"/>
      <c r="K343" s="7"/>
      <c r="L343" s="51"/>
      <c r="M343" s="65"/>
      <c r="N343" s="7"/>
      <c r="O343" s="51"/>
      <c r="P343" s="129"/>
      <c r="Q343" s="127"/>
    </row>
    <row r="344" spans="1:17" ht="12.75">
      <c r="A344" s="74" t="s">
        <v>245</v>
      </c>
      <c r="B344" s="165"/>
      <c r="C344" s="184">
        <v>1000</v>
      </c>
      <c r="D344" s="199"/>
      <c r="E344" s="182"/>
      <c r="F344" s="183">
        <f t="shared" si="57"/>
        <v>1000</v>
      </c>
      <c r="G344" s="228"/>
      <c r="H344" s="7"/>
      <c r="I344" s="51"/>
      <c r="J344" s="50"/>
      <c r="K344" s="7"/>
      <c r="L344" s="51"/>
      <c r="M344" s="65"/>
      <c r="N344" s="7"/>
      <c r="O344" s="51"/>
      <c r="P344" s="129"/>
      <c r="Q344" s="127"/>
    </row>
    <row r="345" spans="1:17" ht="12.75">
      <c r="A345" s="74" t="s">
        <v>226</v>
      </c>
      <c r="B345" s="165"/>
      <c r="C345" s="184">
        <v>3450</v>
      </c>
      <c r="D345" s="199">
        <f>3471.7</f>
        <v>3471.7</v>
      </c>
      <c r="E345" s="182"/>
      <c r="F345" s="183">
        <f t="shared" si="57"/>
        <v>6921.7</v>
      </c>
      <c r="G345" s="228"/>
      <c r="H345" s="7"/>
      <c r="I345" s="51"/>
      <c r="J345" s="50"/>
      <c r="K345" s="7"/>
      <c r="L345" s="51"/>
      <c r="M345" s="65"/>
      <c r="N345" s="7"/>
      <c r="O345" s="51"/>
      <c r="P345" s="129"/>
      <c r="Q345" s="127"/>
    </row>
    <row r="346" spans="1:17" ht="12.75" hidden="1">
      <c r="A346" s="74" t="s">
        <v>261</v>
      </c>
      <c r="B346" s="165"/>
      <c r="C346" s="184"/>
      <c r="D346" s="199"/>
      <c r="E346" s="182"/>
      <c r="F346" s="183">
        <f t="shared" si="57"/>
        <v>0</v>
      </c>
      <c r="G346" s="228"/>
      <c r="H346" s="7"/>
      <c r="I346" s="51"/>
      <c r="J346" s="50"/>
      <c r="K346" s="7"/>
      <c r="L346" s="51"/>
      <c r="M346" s="65"/>
      <c r="N346" s="7"/>
      <c r="O346" s="51"/>
      <c r="P346" s="129"/>
      <c r="Q346" s="127"/>
    </row>
    <row r="347" spans="1:17" ht="12.75">
      <c r="A347" s="74" t="s">
        <v>219</v>
      </c>
      <c r="B347" s="165"/>
      <c r="C347" s="184">
        <v>65000</v>
      </c>
      <c r="D347" s="199">
        <f>855.97+170593.23+1053.69</f>
        <v>172502.89</v>
      </c>
      <c r="E347" s="182"/>
      <c r="F347" s="183">
        <f t="shared" si="57"/>
        <v>237502.89</v>
      </c>
      <c r="G347" s="228"/>
      <c r="H347" s="7"/>
      <c r="I347" s="51"/>
      <c r="J347" s="50"/>
      <c r="K347" s="7"/>
      <c r="L347" s="51"/>
      <c r="M347" s="65"/>
      <c r="N347" s="7"/>
      <c r="O347" s="51"/>
      <c r="P347" s="129"/>
      <c r="Q347" s="127"/>
    </row>
    <row r="348" spans="1:17" ht="12.75">
      <c r="A348" s="74" t="s">
        <v>220</v>
      </c>
      <c r="B348" s="165"/>
      <c r="C348" s="184">
        <v>35000</v>
      </c>
      <c r="D348" s="199">
        <f>2486.19+276.24+45.98+118.58+1093.83+334.39+4755.38+18.15-340.4-20000+400+508.56</f>
        <v>-10303.1</v>
      </c>
      <c r="E348" s="182"/>
      <c r="F348" s="183">
        <f t="shared" si="57"/>
        <v>24696.9</v>
      </c>
      <c r="G348" s="228"/>
      <c r="H348" s="7"/>
      <c r="I348" s="51"/>
      <c r="J348" s="50"/>
      <c r="K348" s="7"/>
      <c r="L348" s="51"/>
      <c r="M348" s="65"/>
      <c r="N348" s="7"/>
      <c r="O348" s="51"/>
      <c r="P348" s="129"/>
      <c r="Q348" s="127"/>
    </row>
    <row r="349" spans="1:17" ht="12.75">
      <c r="A349" s="74" t="s">
        <v>227</v>
      </c>
      <c r="B349" s="165"/>
      <c r="C349" s="184">
        <v>8000</v>
      </c>
      <c r="D349" s="199">
        <f>11617.4+2000</f>
        <v>13617.4</v>
      </c>
      <c r="E349" s="182"/>
      <c r="F349" s="183">
        <f t="shared" si="57"/>
        <v>21617.4</v>
      </c>
      <c r="G349" s="228"/>
      <c r="H349" s="7"/>
      <c r="I349" s="51"/>
      <c r="J349" s="50"/>
      <c r="K349" s="7"/>
      <c r="L349" s="51"/>
      <c r="M349" s="65"/>
      <c r="N349" s="7"/>
      <c r="O349" s="51"/>
      <c r="P349" s="129"/>
      <c r="Q349" s="127"/>
    </row>
    <row r="350" spans="1:17" ht="12.75">
      <c r="A350" s="74" t="s">
        <v>243</v>
      </c>
      <c r="B350" s="165"/>
      <c r="C350" s="184">
        <v>26000</v>
      </c>
      <c r="D350" s="199">
        <f>16373.79+2736.03</f>
        <v>19109.82</v>
      </c>
      <c r="E350" s="182"/>
      <c r="F350" s="183">
        <f t="shared" si="57"/>
        <v>45109.82</v>
      </c>
      <c r="G350" s="228"/>
      <c r="H350" s="7"/>
      <c r="I350" s="51"/>
      <c r="J350" s="50"/>
      <c r="K350" s="7"/>
      <c r="L350" s="51"/>
      <c r="M350" s="65"/>
      <c r="N350" s="7"/>
      <c r="O350" s="51"/>
      <c r="P350" s="129"/>
      <c r="Q350" s="127"/>
    </row>
    <row r="351" spans="1:17" ht="12.75">
      <c r="A351" s="74" t="s">
        <v>221</v>
      </c>
      <c r="B351" s="165"/>
      <c r="C351" s="184">
        <v>5925</v>
      </c>
      <c r="D351" s="182">
        <f>58284+10000+200</f>
        <v>68484</v>
      </c>
      <c r="E351" s="182"/>
      <c r="F351" s="183">
        <f t="shared" si="57"/>
        <v>74409</v>
      </c>
      <c r="G351" s="228"/>
      <c r="H351" s="7"/>
      <c r="I351" s="51"/>
      <c r="J351" s="50"/>
      <c r="K351" s="7"/>
      <c r="L351" s="51"/>
      <c r="M351" s="65"/>
      <c r="N351" s="7"/>
      <c r="O351" s="51"/>
      <c r="P351" s="129"/>
      <c r="Q351" s="127"/>
    </row>
    <row r="352" spans="1:17" ht="12.75">
      <c r="A352" s="74" t="s">
        <v>328</v>
      </c>
      <c r="B352" s="165">
        <v>2088</v>
      </c>
      <c r="C352" s="184"/>
      <c r="D352" s="182">
        <f>6918.64+11340.81+7316.8+77036.9+5994.23+6188.99</f>
        <v>114796.37</v>
      </c>
      <c r="E352" s="182"/>
      <c r="F352" s="183">
        <f t="shared" si="57"/>
        <v>114796.37</v>
      </c>
      <c r="G352" s="228"/>
      <c r="H352" s="7"/>
      <c r="I352" s="51"/>
      <c r="J352" s="50"/>
      <c r="K352" s="7"/>
      <c r="L352" s="51"/>
      <c r="M352" s="65"/>
      <c r="N352" s="7"/>
      <c r="O352" s="51"/>
      <c r="P352" s="129"/>
      <c r="Q352" s="127"/>
    </row>
    <row r="353" spans="1:17" ht="12.75">
      <c r="A353" s="74" t="s">
        <v>329</v>
      </c>
      <c r="B353" s="165">
        <v>2077</v>
      </c>
      <c r="C353" s="184">
        <v>2000</v>
      </c>
      <c r="D353" s="182">
        <f>-276.24-45.98+2540+8+41.13-18.15+20000+69819.04+349.73-400-180.5</f>
        <v>91837.02999999998</v>
      </c>
      <c r="E353" s="182"/>
      <c r="F353" s="183">
        <f t="shared" si="57"/>
        <v>93837.02999999998</v>
      </c>
      <c r="G353" s="228"/>
      <c r="H353" s="7"/>
      <c r="I353" s="51"/>
      <c r="J353" s="50"/>
      <c r="K353" s="7"/>
      <c r="L353" s="51"/>
      <c r="M353" s="65"/>
      <c r="N353" s="7"/>
      <c r="O353" s="51"/>
      <c r="P353" s="129"/>
      <c r="Q353" s="127"/>
    </row>
    <row r="354" spans="1:17" ht="12.75">
      <c r="A354" s="81" t="s">
        <v>330</v>
      </c>
      <c r="B354" s="168">
        <v>2099</v>
      </c>
      <c r="C354" s="194"/>
      <c r="D354" s="195">
        <f>44.83+27.24-2486.19-25000+27.1+212347.41+44.72-2679.5-508.56</f>
        <v>181817.05000000002</v>
      </c>
      <c r="E354" s="195"/>
      <c r="F354" s="246">
        <f t="shared" si="57"/>
        <v>181817.05000000002</v>
      </c>
      <c r="G354" s="228"/>
      <c r="H354" s="7"/>
      <c r="I354" s="51"/>
      <c r="J354" s="50"/>
      <c r="K354" s="7"/>
      <c r="L354" s="51"/>
      <c r="M354" s="65"/>
      <c r="N354" s="7"/>
      <c r="O354" s="51"/>
      <c r="P354" s="129"/>
      <c r="Q354" s="127"/>
    </row>
    <row r="355" spans="1:17" ht="12.75">
      <c r="A355" s="67" t="s">
        <v>118</v>
      </c>
      <c r="B355" s="169"/>
      <c r="C355" s="179">
        <f>C356+C376</f>
        <v>188000</v>
      </c>
      <c r="D355" s="180">
        <f>D356+D376</f>
        <v>640908.78</v>
      </c>
      <c r="E355" s="180">
        <f>E356+E376</f>
        <v>0</v>
      </c>
      <c r="F355" s="181">
        <f>F356+F376</f>
        <v>828908.78</v>
      </c>
      <c r="G355" s="227"/>
      <c r="H355" s="6"/>
      <c r="I355" s="49">
        <f>I356+I376</f>
        <v>193917.73</v>
      </c>
      <c r="J355" s="48"/>
      <c r="K355" s="6"/>
      <c r="L355" s="49">
        <f>L356+L376</f>
        <v>193917.73</v>
      </c>
      <c r="M355" s="48"/>
      <c r="N355" s="6"/>
      <c r="O355" s="49">
        <f>O356+O376</f>
        <v>193917.73</v>
      </c>
      <c r="P355" s="130"/>
      <c r="Q355" s="107">
        <f>Q356+Q376</f>
        <v>193917.73</v>
      </c>
    </row>
    <row r="356" spans="1:17" ht="12.75">
      <c r="A356" s="76" t="s">
        <v>62</v>
      </c>
      <c r="B356" s="169"/>
      <c r="C356" s="191">
        <f>SUM(C358:C375)</f>
        <v>188000</v>
      </c>
      <c r="D356" s="192">
        <f>SUM(D358:D375)</f>
        <v>640908.78</v>
      </c>
      <c r="E356" s="192">
        <f>SUM(E358:E375)</f>
        <v>0</v>
      </c>
      <c r="F356" s="193">
        <f>SUM(F358:F375)</f>
        <v>828908.78</v>
      </c>
      <c r="G356" s="231"/>
      <c r="H356" s="12"/>
      <c r="I356" s="59">
        <f>SUM(I358:I375)</f>
        <v>193917.73</v>
      </c>
      <c r="J356" s="58"/>
      <c r="K356" s="12"/>
      <c r="L356" s="59">
        <f>SUM(L358:L375)</f>
        <v>193917.73</v>
      </c>
      <c r="M356" s="58"/>
      <c r="N356" s="12"/>
      <c r="O356" s="59">
        <f>SUM(O358:O375)</f>
        <v>193917.73</v>
      </c>
      <c r="P356" s="134"/>
      <c r="Q356" s="108">
        <f>SUM(Q358:Q375)</f>
        <v>193917.73</v>
      </c>
    </row>
    <row r="357" spans="1:17" ht="12.75">
      <c r="A357" s="72" t="s">
        <v>33</v>
      </c>
      <c r="B357" s="165"/>
      <c r="C357" s="184"/>
      <c r="D357" s="182"/>
      <c r="E357" s="182"/>
      <c r="F357" s="183"/>
      <c r="G357" s="228"/>
      <c r="H357" s="7"/>
      <c r="I357" s="51"/>
      <c r="J357" s="50"/>
      <c r="K357" s="7"/>
      <c r="L357" s="51"/>
      <c r="M357" s="50"/>
      <c r="N357" s="7"/>
      <c r="O357" s="51"/>
      <c r="P357" s="129"/>
      <c r="Q357" s="127"/>
    </row>
    <row r="358" spans="1:17" ht="12.75">
      <c r="A358" s="83" t="s">
        <v>119</v>
      </c>
      <c r="B358" s="171"/>
      <c r="C358" s="184">
        <v>149300</v>
      </c>
      <c r="D358" s="182"/>
      <c r="E358" s="182"/>
      <c r="F358" s="183">
        <f aca="true" t="shared" si="58" ref="F358:F375">C358+D358+E358</f>
        <v>149300</v>
      </c>
      <c r="G358" s="228"/>
      <c r="H358" s="7"/>
      <c r="I358" s="51">
        <f>F358+G358+H358</f>
        <v>149300</v>
      </c>
      <c r="J358" s="50"/>
      <c r="K358" s="7"/>
      <c r="L358" s="51">
        <f>I358+J358+K358</f>
        <v>149300</v>
      </c>
      <c r="M358" s="50"/>
      <c r="N358" s="7"/>
      <c r="O358" s="51">
        <f>L358+M358+N358</f>
        <v>149300</v>
      </c>
      <c r="P358" s="129"/>
      <c r="Q358" s="127">
        <f>O358+P358</f>
        <v>149300</v>
      </c>
    </row>
    <row r="359" spans="1:17" ht="12.75">
      <c r="A359" s="166" t="s">
        <v>276</v>
      </c>
      <c r="B359" s="171"/>
      <c r="C359" s="184"/>
      <c r="D359" s="182">
        <v>12000</v>
      </c>
      <c r="E359" s="182"/>
      <c r="F359" s="183">
        <f t="shared" si="58"/>
        <v>12000</v>
      </c>
      <c r="G359" s="228"/>
      <c r="H359" s="7"/>
      <c r="I359" s="51"/>
      <c r="J359" s="50"/>
      <c r="K359" s="7"/>
      <c r="L359" s="51"/>
      <c r="M359" s="50"/>
      <c r="N359" s="7"/>
      <c r="O359" s="51"/>
      <c r="P359" s="129"/>
      <c r="Q359" s="127"/>
    </row>
    <row r="360" spans="1:17" ht="12.75" hidden="1">
      <c r="A360" s="70" t="s">
        <v>177</v>
      </c>
      <c r="B360" s="165"/>
      <c r="C360" s="184"/>
      <c r="D360" s="182"/>
      <c r="E360" s="182"/>
      <c r="F360" s="183">
        <f t="shared" si="58"/>
        <v>0</v>
      </c>
      <c r="G360" s="228"/>
      <c r="H360" s="7"/>
      <c r="I360" s="51">
        <f aca="true" t="shared" si="59" ref="I360:I375">F360+G360+H360</f>
        <v>0</v>
      </c>
      <c r="J360" s="50"/>
      <c r="K360" s="7"/>
      <c r="L360" s="51">
        <f aca="true" t="shared" si="60" ref="L360:L375">I360+J360+K360</f>
        <v>0</v>
      </c>
      <c r="M360" s="50"/>
      <c r="N360" s="7"/>
      <c r="O360" s="51">
        <f aca="true" t="shared" si="61" ref="O360:O375">L360+M360+N360</f>
        <v>0</v>
      </c>
      <c r="P360" s="129"/>
      <c r="Q360" s="127">
        <f>O360+P360</f>
        <v>0</v>
      </c>
    </row>
    <row r="361" spans="1:17" ht="12.75">
      <c r="A361" s="70" t="s">
        <v>206</v>
      </c>
      <c r="B361" s="165"/>
      <c r="C361" s="184">
        <v>30700</v>
      </c>
      <c r="D361" s="182">
        <f>-2200+246.77</f>
        <v>-1953.23</v>
      </c>
      <c r="E361" s="182"/>
      <c r="F361" s="183">
        <f t="shared" si="58"/>
        <v>28746.77</v>
      </c>
      <c r="G361" s="228"/>
      <c r="H361" s="7"/>
      <c r="I361" s="51"/>
      <c r="J361" s="50"/>
      <c r="K361" s="7"/>
      <c r="L361" s="51"/>
      <c r="M361" s="50"/>
      <c r="N361" s="7"/>
      <c r="O361" s="51"/>
      <c r="P361" s="129"/>
      <c r="Q361" s="127"/>
    </row>
    <row r="362" spans="1:17" ht="12.75">
      <c r="A362" s="70" t="s">
        <v>64</v>
      </c>
      <c r="B362" s="165"/>
      <c r="C362" s="184">
        <v>8000</v>
      </c>
      <c r="D362" s="182">
        <f>2200</f>
        <v>2200</v>
      </c>
      <c r="E362" s="182"/>
      <c r="F362" s="183">
        <f t="shared" si="58"/>
        <v>10200</v>
      </c>
      <c r="G362" s="228"/>
      <c r="H362" s="7"/>
      <c r="I362" s="51">
        <f t="shared" si="59"/>
        <v>10200</v>
      </c>
      <c r="J362" s="50"/>
      <c r="K362" s="7"/>
      <c r="L362" s="51">
        <f t="shared" si="60"/>
        <v>10200</v>
      </c>
      <c r="M362" s="50"/>
      <c r="N362" s="7"/>
      <c r="O362" s="51">
        <f t="shared" si="61"/>
        <v>10200</v>
      </c>
      <c r="P362" s="129"/>
      <c r="Q362" s="127">
        <f>O362+P362</f>
        <v>10200</v>
      </c>
    </row>
    <row r="363" spans="1:17" ht="12.75" hidden="1">
      <c r="A363" s="70" t="s">
        <v>79</v>
      </c>
      <c r="B363" s="165"/>
      <c r="C363" s="184"/>
      <c r="D363" s="182"/>
      <c r="E363" s="182"/>
      <c r="F363" s="183">
        <f t="shared" si="58"/>
        <v>0</v>
      </c>
      <c r="G363" s="228"/>
      <c r="H363" s="7"/>
      <c r="I363" s="51">
        <f t="shared" si="59"/>
        <v>0</v>
      </c>
      <c r="J363" s="50"/>
      <c r="K363" s="7"/>
      <c r="L363" s="51">
        <f t="shared" si="60"/>
        <v>0</v>
      </c>
      <c r="M363" s="50"/>
      <c r="N363" s="7"/>
      <c r="O363" s="51">
        <f t="shared" si="61"/>
        <v>0</v>
      </c>
      <c r="P363" s="129"/>
      <c r="Q363" s="127">
        <f>O363+P363</f>
        <v>0</v>
      </c>
    </row>
    <row r="364" spans="1:17" ht="12.75" hidden="1">
      <c r="A364" s="70" t="s">
        <v>268</v>
      </c>
      <c r="B364" s="165"/>
      <c r="C364" s="184"/>
      <c r="D364" s="182"/>
      <c r="E364" s="182"/>
      <c r="F364" s="183">
        <f t="shared" si="58"/>
        <v>0</v>
      </c>
      <c r="G364" s="228"/>
      <c r="H364" s="7"/>
      <c r="I364" s="51"/>
      <c r="J364" s="50"/>
      <c r="K364" s="7"/>
      <c r="L364" s="51"/>
      <c r="M364" s="50"/>
      <c r="N364" s="7"/>
      <c r="O364" s="51"/>
      <c r="P364" s="129"/>
      <c r="Q364" s="127"/>
    </row>
    <row r="365" spans="1:17" ht="12.75">
      <c r="A365" s="166" t="s">
        <v>350</v>
      </c>
      <c r="B365" s="165">
        <v>2043</v>
      </c>
      <c r="C365" s="184"/>
      <c r="D365" s="182">
        <f>2680.55</f>
        <v>2680.55</v>
      </c>
      <c r="E365" s="182"/>
      <c r="F365" s="183">
        <f t="shared" si="58"/>
        <v>2680.55</v>
      </c>
      <c r="G365" s="228"/>
      <c r="H365" s="7"/>
      <c r="I365" s="51"/>
      <c r="J365" s="50"/>
      <c r="K365" s="7"/>
      <c r="L365" s="51"/>
      <c r="M365" s="50"/>
      <c r="N365" s="7"/>
      <c r="O365" s="51"/>
      <c r="P365" s="129"/>
      <c r="Q365" s="127"/>
    </row>
    <row r="366" spans="1:17" ht="12.75">
      <c r="A366" s="70" t="s">
        <v>332</v>
      </c>
      <c r="B366" s="165">
        <v>2050</v>
      </c>
      <c r="C366" s="184"/>
      <c r="D366" s="182">
        <f>5089.85</f>
        <v>5089.85</v>
      </c>
      <c r="E366" s="182"/>
      <c r="F366" s="183">
        <f t="shared" si="58"/>
        <v>5089.85</v>
      </c>
      <c r="G366" s="228"/>
      <c r="H366" s="7"/>
      <c r="I366" s="51"/>
      <c r="J366" s="50"/>
      <c r="K366" s="7"/>
      <c r="L366" s="51"/>
      <c r="M366" s="50"/>
      <c r="N366" s="7"/>
      <c r="O366" s="51"/>
      <c r="P366" s="129"/>
      <c r="Q366" s="127"/>
    </row>
    <row r="367" spans="1:17" ht="12.75">
      <c r="A367" s="70" t="s">
        <v>337</v>
      </c>
      <c r="B367" s="165">
        <v>2050</v>
      </c>
      <c r="C367" s="184"/>
      <c r="D367" s="182">
        <f>94024.14</f>
        <v>94024.14</v>
      </c>
      <c r="E367" s="182"/>
      <c r="F367" s="183">
        <f t="shared" si="58"/>
        <v>94024.14</v>
      </c>
      <c r="G367" s="228"/>
      <c r="H367" s="7"/>
      <c r="I367" s="51"/>
      <c r="J367" s="50"/>
      <c r="K367" s="7"/>
      <c r="L367" s="51"/>
      <c r="M367" s="50"/>
      <c r="N367" s="7"/>
      <c r="O367" s="51"/>
      <c r="P367" s="129"/>
      <c r="Q367" s="127"/>
    </row>
    <row r="368" spans="1:17" ht="12.75">
      <c r="A368" s="70" t="s">
        <v>331</v>
      </c>
      <c r="B368" s="165">
        <v>2044</v>
      </c>
      <c r="C368" s="184"/>
      <c r="D368" s="182">
        <f>6509.74</f>
        <v>6509.74</v>
      </c>
      <c r="E368" s="182"/>
      <c r="F368" s="183">
        <f t="shared" si="58"/>
        <v>6509.74</v>
      </c>
      <c r="G368" s="228"/>
      <c r="H368" s="7"/>
      <c r="I368" s="51"/>
      <c r="J368" s="50"/>
      <c r="K368" s="7"/>
      <c r="L368" s="51"/>
      <c r="M368" s="50"/>
      <c r="N368" s="7"/>
      <c r="O368" s="51"/>
      <c r="P368" s="129"/>
      <c r="Q368" s="127"/>
    </row>
    <row r="369" spans="1:17" ht="12.75" hidden="1">
      <c r="A369" s="79" t="s">
        <v>317</v>
      </c>
      <c r="B369" s="165">
        <v>2063</v>
      </c>
      <c r="C369" s="184"/>
      <c r="D369" s="182"/>
      <c r="E369" s="182"/>
      <c r="F369" s="183">
        <f t="shared" si="58"/>
        <v>0</v>
      </c>
      <c r="G369" s="228"/>
      <c r="H369" s="7"/>
      <c r="I369" s="51">
        <f t="shared" si="59"/>
        <v>0</v>
      </c>
      <c r="J369" s="50"/>
      <c r="K369" s="7"/>
      <c r="L369" s="51">
        <f t="shared" si="60"/>
        <v>0</v>
      </c>
      <c r="M369" s="50"/>
      <c r="N369" s="7"/>
      <c r="O369" s="51">
        <f t="shared" si="61"/>
        <v>0</v>
      </c>
      <c r="P369" s="129"/>
      <c r="Q369" s="127">
        <f aca="true" t="shared" si="62" ref="Q369:Q375">O369+P369</f>
        <v>0</v>
      </c>
    </row>
    <row r="370" spans="1:17" ht="12.75" hidden="1">
      <c r="A370" s="79" t="s">
        <v>318</v>
      </c>
      <c r="B370" s="165">
        <v>2048</v>
      </c>
      <c r="C370" s="184"/>
      <c r="D370" s="182"/>
      <c r="E370" s="182"/>
      <c r="F370" s="183">
        <f t="shared" si="58"/>
        <v>0</v>
      </c>
      <c r="G370" s="228"/>
      <c r="H370" s="7"/>
      <c r="I370" s="51"/>
      <c r="J370" s="50"/>
      <c r="K370" s="7"/>
      <c r="L370" s="51"/>
      <c r="M370" s="50"/>
      <c r="N370" s="7"/>
      <c r="O370" s="51"/>
      <c r="P370" s="129"/>
      <c r="Q370" s="127"/>
    </row>
    <row r="371" spans="1:17" ht="12.75">
      <c r="A371" s="79" t="s">
        <v>271</v>
      </c>
      <c r="B371" s="165">
        <v>13305</v>
      </c>
      <c r="C371" s="184"/>
      <c r="D371" s="182">
        <f>485940</f>
        <v>485940</v>
      </c>
      <c r="E371" s="182"/>
      <c r="F371" s="183">
        <f t="shared" si="58"/>
        <v>485940</v>
      </c>
      <c r="G371" s="228"/>
      <c r="H371" s="7"/>
      <c r="I371" s="51"/>
      <c r="J371" s="50"/>
      <c r="K371" s="7"/>
      <c r="L371" s="51"/>
      <c r="M371" s="50"/>
      <c r="N371" s="7"/>
      <c r="O371" s="51"/>
      <c r="P371" s="129"/>
      <c r="Q371" s="127"/>
    </row>
    <row r="372" spans="1:17" ht="12.75">
      <c r="A372" s="70" t="s">
        <v>120</v>
      </c>
      <c r="B372" s="165">
        <v>13307</v>
      </c>
      <c r="C372" s="184"/>
      <c r="D372" s="182">
        <f>2500</f>
        <v>2500</v>
      </c>
      <c r="E372" s="182"/>
      <c r="F372" s="183">
        <f t="shared" si="58"/>
        <v>2500</v>
      </c>
      <c r="G372" s="228"/>
      <c r="H372" s="7"/>
      <c r="I372" s="51">
        <f t="shared" si="59"/>
        <v>2500</v>
      </c>
      <c r="J372" s="50"/>
      <c r="K372" s="7"/>
      <c r="L372" s="51">
        <f t="shared" si="60"/>
        <v>2500</v>
      </c>
      <c r="M372" s="50"/>
      <c r="N372" s="7"/>
      <c r="O372" s="51">
        <f t="shared" si="61"/>
        <v>2500</v>
      </c>
      <c r="P372" s="129"/>
      <c r="Q372" s="127">
        <f t="shared" si="62"/>
        <v>2500</v>
      </c>
    </row>
    <row r="373" spans="1:17" ht="12.75" hidden="1">
      <c r="A373" s="70" t="s">
        <v>176</v>
      </c>
      <c r="B373" s="165">
        <v>14018</v>
      </c>
      <c r="C373" s="184"/>
      <c r="D373" s="182"/>
      <c r="E373" s="182"/>
      <c r="F373" s="183">
        <f t="shared" si="58"/>
        <v>0</v>
      </c>
      <c r="G373" s="228"/>
      <c r="H373" s="7"/>
      <c r="I373" s="51">
        <f t="shared" si="59"/>
        <v>0</v>
      </c>
      <c r="J373" s="50"/>
      <c r="K373" s="7"/>
      <c r="L373" s="51">
        <f t="shared" si="60"/>
        <v>0</v>
      </c>
      <c r="M373" s="50"/>
      <c r="N373" s="7"/>
      <c r="O373" s="51">
        <f t="shared" si="61"/>
        <v>0</v>
      </c>
      <c r="P373" s="129"/>
      <c r="Q373" s="127">
        <f t="shared" si="62"/>
        <v>0</v>
      </c>
    </row>
    <row r="374" spans="1:17" ht="12.75" hidden="1">
      <c r="A374" s="79" t="s">
        <v>191</v>
      </c>
      <c r="B374" s="165">
        <v>4359</v>
      </c>
      <c r="C374" s="184"/>
      <c r="D374" s="182"/>
      <c r="E374" s="182"/>
      <c r="F374" s="183">
        <f t="shared" si="58"/>
        <v>0</v>
      </c>
      <c r="G374" s="228"/>
      <c r="H374" s="7"/>
      <c r="I374" s="51">
        <f t="shared" si="59"/>
        <v>0</v>
      </c>
      <c r="J374" s="50"/>
      <c r="K374" s="7"/>
      <c r="L374" s="51">
        <f t="shared" si="60"/>
        <v>0</v>
      </c>
      <c r="M374" s="50"/>
      <c r="N374" s="7"/>
      <c r="O374" s="51">
        <f t="shared" si="61"/>
        <v>0</v>
      </c>
      <c r="P374" s="129"/>
      <c r="Q374" s="127">
        <f t="shared" si="62"/>
        <v>0</v>
      </c>
    </row>
    <row r="375" spans="1:17" ht="12.75">
      <c r="A375" s="73" t="s">
        <v>94</v>
      </c>
      <c r="B375" s="168"/>
      <c r="C375" s="194"/>
      <c r="D375" s="195">
        <f>25000+5794+136.54+139.37+847.82</f>
        <v>31917.73</v>
      </c>
      <c r="E375" s="195"/>
      <c r="F375" s="246">
        <f t="shared" si="58"/>
        <v>31917.73</v>
      </c>
      <c r="G375" s="228"/>
      <c r="H375" s="7"/>
      <c r="I375" s="51">
        <f t="shared" si="59"/>
        <v>31917.73</v>
      </c>
      <c r="J375" s="50"/>
      <c r="K375" s="7"/>
      <c r="L375" s="51">
        <f t="shared" si="60"/>
        <v>31917.73</v>
      </c>
      <c r="M375" s="50"/>
      <c r="N375" s="7"/>
      <c r="O375" s="51">
        <f t="shared" si="61"/>
        <v>31917.73</v>
      </c>
      <c r="P375" s="129"/>
      <c r="Q375" s="127">
        <f t="shared" si="62"/>
        <v>31917.73</v>
      </c>
    </row>
    <row r="376" spans="1:17" ht="12.75" hidden="1">
      <c r="A376" s="76" t="s">
        <v>67</v>
      </c>
      <c r="B376" s="169"/>
      <c r="C376" s="191">
        <f>SUM(C378:C380)</f>
        <v>0</v>
      </c>
      <c r="D376" s="192">
        <f>SUM(D378:D380)</f>
        <v>0</v>
      </c>
      <c r="E376" s="192">
        <f>SUM(E378:E380)</f>
        <v>0</v>
      </c>
      <c r="F376" s="193">
        <f>SUM(F378:F380)</f>
        <v>0</v>
      </c>
      <c r="G376" s="231"/>
      <c r="H376" s="12"/>
      <c r="I376" s="59">
        <f>SUM(I378:I380)</f>
        <v>0</v>
      </c>
      <c r="J376" s="58"/>
      <c r="K376" s="12"/>
      <c r="L376" s="59">
        <f>SUM(L378:L380)</f>
        <v>0</v>
      </c>
      <c r="M376" s="58"/>
      <c r="N376" s="12"/>
      <c r="O376" s="59">
        <f>SUM(O378:O380)</f>
        <v>0</v>
      </c>
      <c r="P376" s="134"/>
      <c r="Q376" s="108">
        <f>SUM(Q378:Q380)</f>
        <v>0</v>
      </c>
    </row>
    <row r="377" spans="1:17" ht="12.75" hidden="1">
      <c r="A377" s="72" t="s">
        <v>33</v>
      </c>
      <c r="B377" s="165"/>
      <c r="C377" s="184"/>
      <c r="D377" s="182"/>
      <c r="E377" s="182"/>
      <c r="F377" s="183"/>
      <c r="G377" s="228"/>
      <c r="H377" s="7"/>
      <c r="I377" s="51"/>
      <c r="J377" s="50"/>
      <c r="K377" s="7"/>
      <c r="L377" s="51"/>
      <c r="M377" s="50"/>
      <c r="N377" s="7"/>
      <c r="O377" s="51"/>
      <c r="P377" s="129"/>
      <c r="Q377" s="127"/>
    </row>
    <row r="378" spans="1:17" ht="12.75" hidden="1">
      <c r="A378" s="70" t="s">
        <v>109</v>
      </c>
      <c r="B378" s="165"/>
      <c r="C378" s="184"/>
      <c r="D378" s="182"/>
      <c r="E378" s="182"/>
      <c r="F378" s="183">
        <f>C378+D378+E378</f>
        <v>0</v>
      </c>
      <c r="G378" s="228"/>
      <c r="H378" s="7"/>
      <c r="I378" s="51">
        <f>F378+G378+H378</f>
        <v>0</v>
      </c>
      <c r="J378" s="50"/>
      <c r="K378" s="7"/>
      <c r="L378" s="51">
        <f>I378+J378+K378</f>
        <v>0</v>
      </c>
      <c r="M378" s="50"/>
      <c r="N378" s="7"/>
      <c r="O378" s="51">
        <f>L378+M378+N378</f>
        <v>0</v>
      </c>
      <c r="P378" s="129"/>
      <c r="Q378" s="127">
        <f>O378+P378</f>
        <v>0</v>
      </c>
    </row>
    <row r="379" spans="1:17" ht="12.75" hidden="1">
      <c r="A379" s="70" t="s">
        <v>68</v>
      </c>
      <c r="B379" s="165"/>
      <c r="C379" s="184"/>
      <c r="D379" s="182"/>
      <c r="E379" s="182"/>
      <c r="F379" s="183">
        <f>C379+D379+E379</f>
        <v>0</v>
      </c>
      <c r="G379" s="228"/>
      <c r="H379" s="7"/>
      <c r="I379" s="51"/>
      <c r="J379" s="50"/>
      <c r="K379" s="7"/>
      <c r="L379" s="51">
        <f>I379+J379+K379</f>
        <v>0</v>
      </c>
      <c r="M379" s="50"/>
      <c r="N379" s="7"/>
      <c r="O379" s="51">
        <f>L379+M379+N379</f>
        <v>0</v>
      </c>
      <c r="P379" s="129"/>
      <c r="Q379" s="127">
        <f>O379+P379</f>
        <v>0</v>
      </c>
    </row>
    <row r="380" spans="1:17" ht="12.75" hidden="1">
      <c r="A380" s="73" t="s">
        <v>94</v>
      </c>
      <c r="B380" s="168"/>
      <c r="C380" s="194"/>
      <c r="D380" s="195"/>
      <c r="E380" s="195"/>
      <c r="F380" s="246">
        <f>C380+D380+E380</f>
        <v>0</v>
      </c>
      <c r="G380" s="228"/>
      <c r="H380" s="7"/>
      <c r="I380" s="51">
        <f>F380+G380+H380</f>
        <v>0</v>
      </c>
      <c r="J380" s="50"/>
      <c r="K380" s="7"/>
      <c r="L380" s="51">
        <f>I380+J380+K380</f>
        <v>0</v>
      </c>
      <c r="M380" s="50"/>
      <c r="N380" s="7"/>
      <c r="O380" s="51">
        <f>L380+M380+N380</f>
        <v>0</v>
      </c>
      <c r="P380" s="129"/>
      <c r="Q380" s="127">
        <f>O380+P380</f>
        <v>0</v>
      </c>
    </row>
    <row r="381" spans="1:17" ht="12.75">
      <c r="A381" s="71" t="s">
        <v>239</v>
      </c>
      <c r="B381" s="169"/>
      <c r="C381" s="179">
        <f>C382+C393</f>
        <v>63360</v>
      </c>
      <c r="D381" s="180">
        <f>D382+D393</f>
        <v>-28006.37</v>
      </c>
      <c r="E381" s="180">
        <f>E382+E393</f>
        <v>0</v>
      </c>
      <c r="F381" s="181">
        <f>F382+F393</f>
        <v>35353.630000000005</v>
      </c>
      <c r="G381" s="227"/>
      <c r="H381" s="6"/>
      <c r="I381" s="49" t="e">
        <f>I382+I393</f>
        <v>#REF!</v>
      </c>
      <c r="J381" s="48"/>
      <c r="K381" s="6"/>
      <c r="L381" s="49" t="e">
        <f>L382+L393</f>
        <v>#REF!</v>
      </c>
      <c r="M381" s="48"/>
      <c r="N381" s="6"/>
      <c r="O381" s="49" t="e">
        <f>O382+O393</f>
        <v>#REF!</v>
      </c>
      <c r="P381" s="130"/>
      <c r="Q381" s="107" t="e">
        <f>Q382+Q393</f>
        <v>#REF!</v>
      </c>
    </row>
    <row r="382" spans="1:17" ht="12.75">
      <c r="A382" s="76" t="s">
        <v>62</v>
      </c>
      <c r="B382" s="169"/>
      <c r="C382" s="191">
        <f>SUM(C384:C392)</f>
        <v>61860</v>
      </c>
      <c r="D382" s="192">
        <f>SUM(D384:D392)</f>
        <v>-28006.37</v>
      </c>
      <c r="E382" s="192">
        <f>SUM(E384:E392)</f>
        <v>0</v>
      </c>
      <c r="F382" s="193">
        <f>SUM(F384:F392)</f>
        <v>33853.630000000005</v>
      </c>
      <c r="G382" s="231"/>
      <c r="H382" s="12"/>
      <c r="I382" s="59" t="e">
        <f>SUM(I384:I392)-#REF!</f>
        <v>#REF!</v>
      </c>
      <c r="J382" s="58"/>
      <c r="K382" s="12"/>
      <c r="L382" s="59" t="e">
        <f>SUM(L384:L392)-#REF!</f>
        <v>#REF!</v>
      </c>
      <c r="M382" s="58"/>
      <c r="N382" s="12"/>
      <c r="O382" s="59" t="e">
        <f>SUM(O384:O392)-#REF!</f>
        <v>#REF!</v>
      </c>
      <c r="P382" s="134"/>
      <c r="Q382" s="108" t="e">
        <f>SUM(Q384:Q392)-#REF!</f>
        <v>#REF!</v>
      </c>
    </row>
    <row r="383" spans="1:17" ht="12.75">
      <c r="A383" s="72" t="s">
        <v>33</v>
      </c>
      <c r="B383" s="165"/>
      <c r="C383" s="184"/>
      <c r="D383" s="182"/>
      <c r="E383" s="182"/>
      <c r="F383" s="181"/>
      <c r="G383" s="228"/>
      <c r="H383" s="7"/>
      <c r="I383" s="49"/>
      <c r="J383" s="50"/>
      <c r="K383" s="7"/>
      <c r="L383" s="49"/>
      <c r="M383" s="50"/>
      <c r="N383" s="7"/>
      <c r="O383" s="49"/>
      <c r="P383" s="129"/>
      <c r="Q383" s="127"/>
    </row>
    <row r="384" spans="1:17" ht="12.75">
      <c r="A384" s="70" t="s">
        <v>64</v>
      </c>
      <c r="B384" s="165"/>
      <c r="C384" s="184">
        <v>10350</v>
      </c>
      <c r="D384" s="182">
        <f>1042+200</f>
        <v>1242</v>
      </c>
      <c r="E384" s="182"/>
      <c r="F384" s="183">
        <f aca="true" t="shared" si="63" ref="F384:F392">C384+D384+E384</f>
        <v>11592</v>
      </c>
      <c r="G384" s="228"/>
      <c r="H384" s="7"/>
      <c r="I384" s="51">
        <f>F384+G384+H384</f>
        <v>11592</v>
      </c>
      <c r="J384" s="50"/>
      <c r="K384" s="7"/>
      <c r="L384" s="51">
        <f>I384+J384+K384</f>
        <v>11592</v>
      </c>
      <c r="M384" s="50"/>
      <c r="N384" s="7"/>
      <c r="O384" s="51">
        <f>L384+M384+N384</f>
        <v>11592</v>
      </c>
      <c r="P384" s="129"/>
      <c r="Q384" s="127">
        <f>O384+P384</f>
        <v>11592</v>
      </c>
    </row>
    <row r="385" spans="1:17" ht="12.75" hidden="1">
      <c r="A385" s="74" t="s">
        <v>273</v>
      </c>
      <c r="B385" s="165"/>
      <c r="C385" s="184"/>
      <c r="D385" s="182"/>
      <c r="E385" s="182"/>
      <c r="F385" s="183">
        <f t="shared" si="63"/>
        <v>0</v>
      </c>
      <c r="G385" s="228"/>
      <c r="H385" s="7"/>
      <c r="I385" s="51">
        <f aca="true" t="shared" si="64" ref="I385:I390">F385+G385+H385</f>
        <v>0</v>
      </c>
      <c r="J385" s="50"/>
      <c r="K385" s="7"/>
      <c r="L385" s="51">
        <f aca="true" t="shared" si="65" ref="L385:L390">I385+J385+K385</f>
        <v>0</v>
      </c>
      <c r="M385" s="50"/>
      <c r="N385" s="7"/>
      <c r="O385" s="51">
        <f aca="true" t="shared" si="66" ref="O385:O390">L385+M385+N385</f>
        <v>0</v>
      </c>
      <c r="P385" s="129"/>
      <c r="Q385" s="127">
        <f>O385+P385</f>
        <v>0</v>
      </c>
    </row>
    <row r="386" spans="1:17" ht="12.75">
      <c r="A386" s="74" t="s">
        <v>274</v>
      </c>
      <c r="B386" s="165"/>
      <c r="C386" s="184">
        <v>50000</v>
      </c>
      <c r="D386" s="182">
        <f>-29000</f>
        <v>-29000</v>
      </c>
      <c r="E386" s="182"/>
      <c r="F386" s="183">
        <f t="shared" si="63"/>
        <v>21000</v>
      </c>
      <c r="G386" s="228"/>
      <c r="H386" s="7"/>
      <c r="I386" s="51"/>
      <c r="J386" s="50"/>
      <c r="K386" s="7"/>
      <c r="L386" s="51"/>
      <c r="M386" s="50"/>
      <c r="N386" s="7"/>
      <c r="O386" s="51"/>
      <c r="P386" s="129"/>
      <c r="Q386" s="127"/>
    </row>
    <row r="387" spans="1:17" ht="12.75">
      <c r="A387" s="74" t="s">
        <v>277</v>
      </c>
      <c r="B387" s="165">
        <v>1400</v>
      </c>
      <c r="C387" s="184">
        <v>1510</v>
      </c>
      <c r="D387" s="199">
        <f>-1510</f>
        <v>-1510</v>
      </c>
      <c r="E387" s="182"/>
      <c r="F387" s="183">
        <f t="shared" si="63"/>
        <v>0</v>
      </c>
      <c r="G387" s="228"/>
      <c r="H387" s="7"/>
      <c r="I387" s="51"/>
      <c r="J387" s="50"/>
      <c r="K387" s="7"/>
      <c r="L387" s="51"/>
      <c r="M387" s="50"/>
      <c r="N387" s="7"/>
      <c r="O387" s="51"/>
      <c r="P387" s="129"/>
      <c r="Q387" s="127"/>
    </row>
    <row r="388" spans="1:17" ht="12.75">
      <c r="A388" s="70" t="s">
        <v>94</v>
      </c>
      <c r="B388" s="165"/>
      <c r="C388" s="184"/>
      <c r="D388" s="199">
        <f>156.9+13.3</f>
        <v>170.20000000000002</v>
      </c>
      <c r="E388" s="182"/>
      <c r="F388" s="183">
        <f t="shared" si="63"/>
        <v>170.20000000000002</v>
      </c>
      <c r="G388" s="228"/>
      <c r="H388" s="7"/>
      <c r="I388" s="51">
        <f t="shared" si="64"/>
        <v>170.20000000000002</v>
      </c>
      <c r="J388" s="50"/>
      <c r="K388" s="7"/>
      <c r="L388" s="51">
        <f t="shared" si="65"/>
        <v>170.20000000000002</v>
      </c>
      <c r="M388" s="50"/>
      <c r="N388" s="7"/>
      <c r="O388" s="51">
        <f t="shared" si="66"/>
        <v>170.20000000000002</v>
      </c>
      <c r="P388" s="129"/>
      <c r="Q388" s="127">
        <f>O388+P388</f>
        <v>170.20000000000002</v>
      </c>
    </row>
    <row r="389" spans="1:17" ht="12.75" hidden="1">
      <c r="A389" s="70" t="s">
        <v>79</v>
      </c>
      <c r="B389" s="165"/>
      <c r="C389" s="184"/>
      <c r="D389" s="182"/>
      <c r="E389" s="182"/>
      <c r="F389" s="183">
        <f t="shared" si="63"/>
        <v>0</v>
      </c>
      <c r="G389" s="228"/>
      <c r="H389" s="7"/>
      <c r="I389" s="51">
        <f t="shared" si="64"/>
        <v>0</v>
      </c>
      <c r="J389" s="65"/>
      <c r="K389" s="7"/>
      <c r="L389" s="51">
        <f t="shared" si="65"/>
        <v>0</v>
      </c>
      <c r="M389" s="50"/>
      <c r="N389" s="7"/>
      <c r="O389" s="51">
        <f t="shared" si="66"/>
        <v>0</v>
      </c>
      <c r="P389" s="129"/>
      <c r="Q389" s="127">
        <f>O389+P389</f>
        <v>0</v>
      </c>
    </row>
    <row r="390" spans="1:17" ht="12.75" hidden="1">
      <c r="A390" s="70" t="s">
        <v>202</v>
      </c>
      <c r="B390" s="165"/>
      <c r="C390" s="184"/>
      <c r="D390" s="182"/>
      <c r="E390" s="182"/>
      <c r="F390" s="183">
        <f t="shared" si="63"/>
        <v>0</v>
      </c>
      <c r="G390" s="228"/>
      <c r="H390" s="7"/>
      <c r="I390" s="51">
        <f t="shared" si="64"/>
        <v>0</v>
      </c>
      <c r="J390" s="65"/>
      <c r="K390" s="7"/>
      <c r="L390" s="51">
        <f t="shared" si="65"/>
        <v>0</v>
      </c>
      <c r="M390" s="50"/>
      <c r="N390" s="7"/>
      <c r="O390" s="51">
        <f t="shared" si="66"/>
        <v>0</v>
      </c>
      <c r="P390" s="129"/>
      <c r="Q390" s="127">
        <f>O390+P390</f>
        <v>0</v>
      </c>
    </row>
    <row r="391" spans="1:17" ht="12.75">
      <c r="A391" s="70" t="s">
        <v>324</v>
      </c>
      <c r="B391" s="272" t="s">
        <v>325</v>
      </c>
      <c r="C391" s="184"/>
      <c r="D391" s="182">
        <v>728.31</v>
      </c>
      <c r="E391" s="182"/>
      <c r="F391" s="183">
        <f t="shared" si="63"/>
        <v>728.31</v>
      </c>
      <c r="G391" s="228"/>
      <c r="H391" s="7"/>
      <c r="I391" s="51"/>
      <c r="J391" s="65"/>
      <c r="K391" s="7"/>
      <c r="L391" s="51"/>
      <c r="M391" s="50"/>
      <c r="N391" s="7"/>
      <c r="O391" s="51"/>
      <c r="P391" s="129"/>
      <c r="Q391" s="127"/>
    </row>
    <row r="392" spans="1:17" ht="12.75">
      <c r="A392" s="70" t="s">
        <v>323</v>
      </c>
      <c r="B392" s="165">
        <v>33064</v>
      </c>
      <c r="C392" s="184"/>
      <c r="D392" s="182">
        <v>363.12</v>
      </c>
      <c r="E392" s="182"/>
      <c r="F392" s="183">
        <f t="shared" si="63"/>
        <v>363.12</v>
      </c>
      <c r="G392" s="228"/>
      <c r="H392" s="7"/>
      <c r="I392" s="51"/>
      <c r="J392" s="65"/>
      <c r="K392" s="7"/>
      <c r="L392" s="51"/>
      <c r="M392" s="50"/>
      <c r="N392" s="7"/>
      <c r="O392" s="51"/>
      <c r="P392" s="129"/>
      <c r="Q392" s="127"/>
    </row>
    <row r="393" spans="1:17" ht="12.75">
      <c r="A393" s="76" t="s">
        <v>67</v>
      </c>
      <c r="B393" s="169"/>
      <c r="C393" s="191">
        <f>SUM(C395:C401)</f>
        <v>1500</v>
      </c>
      <c r="D393" s="192">
        <f>SUM(D395:D401)</f>
        <v>0</v>
      </c>
      <c r="E393" s="192">
        <f>SUM(E395:E401)</f>
        <v>0</v>
      </c>
      <c r="F393" s="193">
        <f>SUM(F395:F401)</f>
        <v>1500</v>
      </c>
      <c r="G393" s="231"/>
      <c r="H393" s="12"/>
      <c r="I393" s="59">
        <f>SUM(I395:I401)</f>
        <v>1500</v>
      </c>
      <c r="J393" s="58"/>
      <c r="K393" s="12"/>
      <c r="L393" s="59">
        <f>SUM(L395:L401)</f>
        <v>1500</v>
      </c>
      <c r="M393" s="58"/>
      <c r="N393" s="12"/>
      <c r="O393" s="59">
        <f>SUM(O395:O401)</f>
        <v>1500</v>
      </c>
      <c r="P393" s="134"/>
      <c r="Q393" s="108">
        <f>SUM(Q395:Q401)</f>
        <v>1500</v>
      </c>
    </row>
    <row r="394" spans="1:17" ht="12.75">
      <c r="A394" s="72" t="s">
        <v>33</v>
      </c>
      <c r="B394" s="165"/>
      <c r="C394" s="184"/>
      <c r="D394" s="182"/>
      <c r="E394" s="182"/>
      <c r="F394" s="183"/>
      <c r="G394" s="228"/>
      <c r="H394" s="7"/>
      <c r="I394" s="51"/>
      <c r="J394" s="50"/>
      <c r="K394" s="7"/>
      <c r="L394" s="51"/>
      <c r="M394" s="50"/>
      <c r="N394" s="7"/>
      <c r="O394" s="51"/>
      <c r="P394" s="129"/>
      <c r="Q394" s="127"/>
    </row>
    <row r="395" spans="1:17" ht="12.75" hidden="1">
      <c r="A395" s="74" t="s">
        <v>83</v>
      </c>
      <c r="B395" s="165"/>
      <c r="C395" s="184"/>
      <c r="D395" s="182"/>
      <c r="E395" s="182"/>
      <c r="F395" s="183">
        <f aca="true" t="shared" si="67" ref="F395:F401">C395+D395+E395</f>
        <v>0</v>
      </c>
      <c r="G395" s="228"/>
      <c r="H395" s="7"/>
      <c r="I395" s="51">
        <f>F395+G395+H395</f>
        <v>0</v>
      </c>
      <c r="J395" s="50"/>
      <c r="K395" s="7"/>
      <c r="L395" s="51">
        <f>I395+J395+K395</f>
        <v>0</v>
      </c>
      <c r="M395" s="50"/>
      <c r="N395" s="7"/>
      <c r="O395" s="51">
        <f>L395+M395+N395</f>
        <v>0</v>
      </c>
      <c r="P395" s="129"/>
      <c r="Q395" s="127">
        <f>O395+P395</f>
        <v>0</v>
      </c>
    </row>
    <row r="396" spans="1:17" ht="12.75" hidden="1">
      <c r="A396" s="74" t="s">
        <v>254</v>
      </c>
      <c r="B396" s="165"/>
      <c r="C396" s="184"/>
      <c r="D396" s="182"/>
      <c r="E396" s="182"/>
      <c r="F396" s="183">
        <f t="shared" si="67"/>
        <v>0</v>
      </c>
      <c r="G396" s="228"/>
      <c r="H396" s="7"/>
      <c r="I396" s="51"/>
      <c r="J396" s="50"/>
      <c r="K396" s="7"/>
      <c r="L396" s="51"/>
      <c r="M396" s="50"/>
      <c r="N396" s="7"/>
      <c r="O396" s="51"/>
      <c r="P396" s="129"/>
      <c r="Q396" s="127"/>
    </row>
    <row r="397" spans="1:17" ht="12.75" hidden="1">
      <c r="A397" s="74" t="s">
        <v>255</v>
      </c>
      <c r="B397" s="165"/>
      <c r="C397" s="184"/>
      <c r="D397" s="182"/>
      <c r="E397" s="182"/>
      <c r="F397" s="183">
        <f t="shared" si="67"/>
        <v>0</v>
      </c>
      <c r="G397" s="228"/>
      <c r="H397" s="7"/>
      <c r="I397" s="51"/>
      <c r="J397" s="50"/>
      <c r="K397" s="7"/>
      <c r="L397" s="51"/>
      <c r="M397" s="50"/>
      <c r="N397" s="7"/>
      <c r="O397" s="51"/>
      <c r="P397" s="129"/>
      <c r="Q397" s="127"/>
    </row>
    <row r="398" spans="1:17" ht="12.75" hidden="1">
      <c r="A398" s="74" t="s">
        <v>240</v>
      </c>
      <c r="B398" s="165"/>
      <c r="C398" s="184"/>
      <c r="D398" s="182"/>
      <c r="E398" s="182"/>
      <c r="F398" s="183">
        <f t="shared" si="67"/>
        <v>0</v>
      </c>
      <c r="G398" s="228"/>
      <c r="H398" s="7"/>
      <c r="I398" s="51"/>
      <c r="J398" s="50"/>
      <c r="K398" s="7"/>
      <c r="L398" s="51"/>
      <c r="M398" s="50"/>
      <c r="N398" s="7"/>
      <c r="O398" s="51"/>
      <c r="P398" s="129"/>
      <c r="Q398" s="127"/>
    </row>
    <row r="399" spans="1:17" ht="12.75">
      <c r="A399" s="73" t="s">
        <v>68</v>
      </c>
      <c r="B399" s="168"/>
      <c r="C399" s="194">
        <v>1500</v>
      </c>
      <c r="D399" s="195"/>
      <c r="E399" s="195"/>
      <c r="F399" s="246">
        <f t="shared" si="67"/>
        <v>1500</v>
      </c>
      <c r="G399" s="228"/>
      <c r="H399" s="7"/>
      <c r="I399" s="51">
        <f>F399+G399+H399</f>
        <v>1500</v>
      </c>
      <c r="J399" s="50"/>
      <c r="K399" s="7"/>
      <c r="L399" s="51">
        <f>I399+J399+K399</f>
        <v>1500</v>
      </c>
      <c r="M399" s="50"/>
      <c r="N399" s="7"/>
      <c r="O399" s="51">
        <f>L399+M399+N399</f>
        <v>1500</v>
      </c>
      <c r="P399" s="129"/>
      <c r="Q399" s="127">
        <f>O399+P399</f>
        <v>1500</v>
      </c>
    </row>
    <row r="400" spans="1:17" ht="12.75" hidden="1">
      <c r="A400" s="70" t="s">
        <v>94</v>
      </c>
      <c r="B400" s="165"/>
      <c r="C400" s="184"/>
      <c r="D400" s="182"/>
      <c r="E400" s="182"/>
      <c r="F400" s="183">
        <f t="shared" si="67"/>
        <v>0</v>
      </c>
      <c r="G400" s="228"/>
      <c r="H400" s="7"/>
      <c r="I400" s="51">
        <f>F400+G400+H400</f>
        <v>0</v>
      </c>
      <c r="J400" s="50"/>
      <c r="K400" s="7"/>
      <c r="L400" s="51">
        <f>I400+J400+K400</f>
        <v>0</v>
      </c>
      <c r="M400" s="50"/>
      <c r="N400" s="7"/>
      <c r="O400" s="51">
        <f>L400+M400+N400</f>
        <v>0</v>
      </c>
      <c r="P400" s="129"/>
      <c r="Q400" s="127">
        <f>O400+P400</f>
        <v>0</v>
      </c>
    </row>
    <row r="401" spans="1:17" ht="12.75" hidden="1">
      <c r="A401" s="80" t="s">
        <v>241</v>
      </c>
      <c r="B401" s="168"/>
      <c r="C401" s="194"/>
      <c r="D401" s="195"/>
      <c r="E401" s="195"/>
      <c r="F401" s="246">
        <f t="shared" si="67"/>
        <v>0</v>
      </c>
      <c r="G401" s="16"/>
      <c r="H401" s="10"/>
      <c r="I401" s="55">
        <f>F401+G401+H401</f>
        <v>0</v>
      </c>
      <c r="J401" s="54"/>
      <c r="K401" s="10"/>
      <c r="L401" s="55">
        <f>I401+J401+K401</f>
        <v>0</v>
      </c>
      <c r="M401" s="54"/>
      <c r="N401" s="10"/>
      <c r="O401" s="55">
        <f>L401+M401+N401</f>
        <v>0</v>
      </c>
      <c r="P401" s="142"/>
      <c r="Q401" s="143">
        <f>O401+P401</f>
        <v>0</v>
      </c>
    </row>
    <row r="402" spans="1:17" ht="12.75">
      <c r="A402" s="67" t="s">
        <v>121</v>
      </c>
      <c r="B402" s="169"/>
      <c r="C402" s="179">
        <f aca="true" t="shared" si="68" ref="C402:O402">C403+C406</f>
        <v>3304.9</v>
      </c>
      <c r="D402" s="180">
        <f t="shared" si="68"/>
        <v>0</v>
      </c>
      <c r="E402" s="180">
        <f>E403+E406</f>
        <v>0</v>
      </c>
      <c r="F402" s="181">
        <f t="shared" si="68"/>
        <v>3304.9</v>
      </c>
      <c r="G402" s="227"/>
      <c r="H402" s="6"/>
      <c r="I402" s="49">
        <f t="shared" si="68"/>
        <v>3304.9</v>
      </c>
      <c r="J402" s="48"/>
      <c r="K402" s="6"/>
      <c r="L402" s="49">
        <f t="shared" si="68"/>
        <v>3304.9</v>
      </c>
      <c r="M402" s="48"/>
      <c r="N402" s="6"/>
      <c r="O402" s="49">
        <f t="shared" si="68"/>
        <v>3304.9</v>
      </c>
      <c r="P402" s="130"/>
      <c r="Q402" s="107">
        <f>Q403+Q406</f>
        <v>3304.9</v>
      </c>
    </row>
    <row r="403" spans="1:17" ht="12.75">
      <c r="A403" s="76" t="s">
        <v>62</v>
      </c>
      <c r="B403" s="169"/>
      <c r="C403" s="191">
        <f>SUM(C405:C405)</f>
        <v>3304.9</v>
      </c>
      <c r="D403" s="192">
        <f>SUM(D405:D405)</f>
        <v>0</v>
      </c>
      <c r="E403" s="192">
        <f>SUM(E405:E405)</f>
        <v>0</v>
      </c>
      <c r="F403" s="193">
        <f>SUM(F405:F405)</f>
        <v>3304.9</v>
      </c>
      <c r="G403" s="231"/>
      <c r="H403" s="12"/>
      <c r="I403" s="59">
        <f>SUM(I405:I405)</f>
        <v>3304.9</v>
      </c>
      <c r="J403" s="58"/>
      <c r="K403" s="12"/>
      <c r="L403" s="59">
        <f>SUM(L405:L405)</f>
        <v>3304.9</v>
      </c>
      <c r="M403" s="58"/>
      <c r="N403" s="12"/>
      <c r="O403" s="59">
        <f>SUM(O405:O405)</f>
        <v>3304.9</v>
      </c>
      <c r="P403" s="134"/>
      <c r="Q403" s="108">
        <f>SUM(Q405:Q405)</f>
        <v>3304.9</v>
      </c>
    </row>
    <row r="404" spans="1:17" ht="12.75">
      <c r="A404" s="72" t="s">
        <v>33</v>
      </c>
      <c r="B404" s="165"/>
      <c r="C404" s="184"/>
      <c r="D404" s="182"/>
      <c r="E404" s="182"/>
      <c r="F404" s="181"/>
      <c r="G404" s="228"/>
      <c r="H404" s="7"/>
      <c r="I404" s="49"/>
      <c r="J404" s="50"/>
      <c r="K404" s="7"/>
      <c r="L404" s="49"/>
      <c r="M404" s="50"/>
      <c r="N404" s="7"/>
      <c r="O404" s="49"/>
      <c r="P404" s="129"/>
      <c r="Q404" s="127"/>
    </row>
    <row r="405" spans="1:17" ht="12.75">
      <c r="A405" s="73" t="s">
        <v>64</v>
      </c>
      <c r="B405" s="168"/>
      <c r="C405" s="201">
        <v>3304.9</v>
      </c>
      <c r="D405" s="195"/>
      <c r="E405" s="195"/>
      <c r="F405" s="246">
        <f>C405+D405+E405</f>
        <v>3304.9</v>
      </c>
      <c r="G405" s="228"/>
      <c r="H405" s="7"/>
      <c r="I405" s="51">
        <f>F405+G405+H405</f>
        <v>3304.9</v>
      </c>
      <c r="J405" s="50"/>
      <c r="K405" s="7"/>
      <c r="L405" s="51">
        <f>I405+J405+K405</f>
        <v>3304.9</v>
      </c>
      <c r="M405" s="50"/>
      <c r="N405" s="7"/>
      <c r="O405" s="51">
        <f>L405+M405+N405</f>
        <v>3304.9</v>
      </c>
      <c r="P405" s="129"/>
      <c r="Q405" s="127">
        <f>O405+P405</f>
        <v>3304.9</v>
      </c>
    </row>
    <row r="406" spans="1:17" ht="12.75" hidden="1">
      <c r="A406" s="76" t="s">
        <v>67</v>
      </c>
      <c r="B406" s="169"/>
      <c r="C406" s="191">
        <f aca="true" t="shared" si="69" ref="C406:O406">SUM(C408:C408)</f>
        <v>0</v>
      </c>
      <c r="D406" s="192">
        <f t="shared" si="69"/>
        <v>0</v>
      </c>
      <c r="E406" s="192">
        <f>SUM(E408:E408)</f>
        <v>0</v>
      </c>
      <c r="F406" s="193">
        <f t="shared" si="69"/>
        <v>0</v>
      </c>
      <c r="G406" s="231"/>
      <c r="H406" s="12"/>
      <c r="I406" s="59">
        <f t="shared" si="69"/>
        <v>0</v>
      </c>
      <c r="J406" s="58"/>
      <c r="K406" s="12"/>
      <c r="L406" s="59">
        <f t="shared" si="69"/>
        <v>0</v>
      </c>
      <c r="M406" s="58"/>
      <c r="N406" s="12"/>
      <c r="O406" s="59">
        <f t="shared" si="69"/>
        <v>0</v>
      </c>
      <c r="P406" s="129"/>
      <c r="Q406" s="127">
        <f>O406+P406</f>
        <v>0</v>
      </c>
    </row>
    <row r="407" spans="1:17" ht="12.75" hidden="1">
      <c r="A407" s="72" t="s">
        <v>33</v>
      </c>
      <c r="B407" s="165"/>
      <c r="C407" s="184"/>
      <c r="D407" s="182"/>
      <c r="E407" s="182"/>
      <c r="F407" s="183"/>
      <c r="G407" s="228"/>
      <c r="H407" s="7"/>
      <c r="I407" s="51"/>
      <c r="J407" s="50"/>
      <c r="K407" s="7"/>
      <c r="L407" s="51"/>
      <c r="M407" s="50"/>
      <c r="N407" s="7"/>
      <c r="O407" s="51"/>
      <c r="P407" s="129"/>
      <c r="Q407" s="127"/>
    </row>
    <row r="408" spans="1:17" ht="12.75" hidden="1">
      <c r="A408" s="73" t="s">
        <v>68</v>
      </c>
      <c r="B408" s="168"/>
      <c r="C408" s="194"/>
      <c r="D408" s="195"/>
      <c r="E408" s="195"/>
      <c r="F408" s="246">
        <f>C408+D408+E408</f>
        <v>0</v>
      </c>
      <c r="G408" s="16"/>
      <c r="H408" s="10"/>
      <c r="I408" s="55">
        <f>F408+G408+H408</f>
        <v>0</v>
      </c>
      <c r="J408" s="54"/>
      <c r="K408" s="10"/>
      <c r="L408" s="115">
        <f>I408+J408+K408</f>
        <v>0</v>
      </c>
      <c r="M408" s="54"/>
      <c r="N408" s="10"/>
      <c r="O408" s="55">
        <f>L408+M408+N408</f>
        <v>0</v>
      </c>
      <c r="P408" s="142"/>
      <c r="Q408" s="143">
        <f>O408+P408</f>
        <v>0</v>
      </c>
    </row>
    <row r="409" spans="1:17" ht="12.75">
      <c r="A409" s="67" t="s">
        <v>122</v>
      </c>
      <c r="B409" s="169"/>
      <c r="C409" s="179">
        <f aca="true" t="shared" si="70" ref="C409:Q409">C410</f>
        <v>57799.6</v>
      </c>
      <c r="D409" s="180">
        <f t="shared" si="70"/>
        <v>22112.02</v>
      </c>
      <c r="E409" s="180">
        <f t="shared" si="70"/>
        <v>0</v>
      </c>
      <c r="F409" s="181">
        <f t="shared" si="70"/>
        <v>79911.62</v>
      </c>
      <c r="G409" s="227"/>
      <c r="H409" s="6"/>
      <c r="I409" s="49">
        <f t="shared" si="70"/>
        <v>79911.62</v>
      </c>
      <c r="J409" s="48"/>
      <c r="K409" s="6"/>
      <c r="L409" s="107">
        <f t="shared" si="70"/>
        <v>79911.62</v>
      </c>
      <c r="M409" s="48"/>
      <c r="N409" s="6"/>
      <c r="O409" s="49">
        <f t="shared" si="70"/>
        <v>79911.62</v>
      </c>
      <c r="P409" s="130"/>
      <c r="Q409" s="107">
        <f t="shared" si="70"/>
        <v>79911.62</v>
      </c>
    </row>
    <row r="410" spans="1:17" ht="12.75">
      <c r="A410" s="76" t="s">
        <v>62</v>
      </c>
      <c r="B410" s="169"/>
      <c r="C410" s="191">
        <f>SUM(C412:C415)</f>
        <v>57799.6</v>
      </c>
      <c r="D410" s="192">
        <f>SUM(D412:D415)</f>
        <v>22112.02</v>
      </c>
      <c r="E410" s="192">
        <f>SUM(E412:E415)</f>
        <v>0</v>
      </c>
      <c r="F410" s="193">
        <f>SUM(F412:F415)</f>
        <v>79911.62</v>
      </c>
      <c r="G410" s="231"/>
      <c r="H410" s="12"/>
      <c r="I410" s="59">
        <f>SUM(I412:I415)</f>
        <v>79911.62</v>
      </c>
      <c r="J410" s="58"/>
      <c r="K410" s="12"/>
      <c r="L410" s="108">
        <f>SUM(L412:L415)</f>
        <v>79911.62</v>
      </c>
      <c r="M410" s="58"/>
      <c r="N410" s="12"/>
      <c r="O410" s="59">
        <f>SUM(O412:O415)</f>
        <v>79911.62</v>
      </c>
      <c r="P410" s="134"/>
      <c r="Q410" s="108">
        <f>SUM(Q412:Q415)</f>
        <v>79911.62</v>
      </c>
    </row>
    <row r="411" spans="1:17" ht="12.75">
      <c r="A411" s="72" t="s">
        <v>33</v>
      </c>
      <c r="B411" s="165"/>
      <c r="C411" s="179"/>
      <c r="D411" s="180"/>
      <c r="E411" s="180"/>
      <c r="F411" s="181"/>
      <c r="G411" s="227"/>
      <c r="H411" s="6"/>
      <c r="I411" s="49"/>
      <c r="J411" s="48"/>
      <c r="K411" s="6"/>
      <c r="L411" s="107"/>
      <c r="M411" s="48"/>
      <c r="N411" s="6"/>
      <c r="O411" s="49"/>
      <c r="P411" s="129"/>
      <c r="Q411" s="127"/>
    </row>
    <row r="412" spans="1:17" ht="12.75">
      <c r="A412" s="166" t="s">
        <v>256</v>
      </c>
      <c r="B412" s="165"/>
      <c r="C412" s="184">
        <v>15048.4</v>
      </c>
      <c r="D412" s="182"/>
      <c r="E412" s="182"/>
      <c r="F412" s="183">
        <f>C412+D412+E412</f>
        <v>15048.4</v>
      </c>
      <c r="G412" s="228"/>
      <c r="H412" s="7"/>
      <c r="I412" s="51">
        <f>F412+G412+H412</f>
        <v>15048.4</v>
      </c>
      <c r="J412" s="65"/>
      <c r="K412" s="7"/>
      <c r="L412" s="116">
        <f>I412+J412+K412</f>
        <v>15048.4</v>
      </c>
      <c r="M412" s="50"/>
      <c r="N412" s="7"/>
      <c r="O412" s="51">
        <f>L412+M412+N412</f>
        <v>15048.4</v>
      </c>
      <c r="P412" s="129"/>
      <c r="Q412" s="127">
        <f>O412+P412</f>
        <v>15048.4</v>
      </c>
    </row>
    <row r="413" spans="1:17" ht="12.75">
      <c r="A413" s="79" t="s">
        <v>123</v>
      </c>
      <c r="B413" s="165"/>
      <c r="C413" s="184"/>
      <c r="D413" s="199">
        <f>21194.74</f>
        <v>21194.74</v>
      </c>
      <c r="E413" s="182"/>
      <c r="F413" s="183">
        <f>C413+D413+E413</f>
        <v>21194.74</v>
      </c>
      <c r="G413" s="228"/>
      <c r="H413" s="7"/>
      <c r="I413" s="51">
        <f>F413+G413+H413</f>
        <v>21194.74</v>
      </c>
      <c r="J413" s="50"/>
      <c r="K413" s="7"/>
      <c r="L413" s="116">
        <f>I413+J413+K413</f>
        <v>21194.74</v>
      </c>
      <c r="M413" s="50"/>
      <c r="N413" s="7"/>
      <c r="O413" s="51">
        <f>L413+M413+N413</f>
        <v>21194.74</v>
      </c>
      <c r="P413" s="129"/>
      <c r="Q413" s="127">
        <f>O413+P413</f>
        <v>21194.74</v>
      </c>
    </row>
    <row r="414" spans="1:17" ht="12.75">
      <c r="A414" s="79" t="s">
        <v>124</v>
      </c>
      <c r="B414" s="165"/>
      <c r="C414" s="184"/>
      <c r="D414" s="182">
        <f>917.28</f>
        <v>917.28</v>
      </c>
      <c r="E414" s="182"/>
      <c r="F414" s="183">
        <f>C414+D414+E414</f>
        <v>917.28</v>
      </c>
      <c r="G414" s="228"/>
      <c r="H414" s="7"/>
      <c r="I414" s="51">
        <f>F414+G414+H414</f>
        <v>917.28</v>
      </c>
      <c r="J414" s="50"/>
      <c r="K414" s="7"/>
      <c r="L414" s="51">
        <f>I414+J414+K414</f>
        <v>917.28</v>
      </c>
      <c r="M414" s="50"/>
      <c r="N414" s="7"/>
      <c r="O414" s="51">
        <f>L414+M414+N414</f>
        <v>917.28</v>
      </c>
      <c r="P414" s="129"/>
      <c r="Q414" s="127">
        <f>O414+P414</f>
        <v>917.28</v>
      </c>
    </row>
    <row r="415" spans="1:17" ht="12.75">
      <c r="A415" s="73" t="s">
        <v>64</v>
      </c>
      <c r="B415" s="168"/>
      <c r="C415" s="194">
        <v>42751.2</v>
      </c>
      <c r="D415" s="195"/>
      <c r="E415" s="195"/>
      <c r="F415" s="246">
        <f>C415+D415+E415</f>
        <v>42751.2</v>
      </c>
      <c r="G415" s="16"/>
      <c r="H415" s="10"/>
      <c r="I415" s="55">
        <f>F415+G415+H415</f>
        <v>42751.2</v>
      </c>
      <c r="J415" s="54"/>
      <c r="K415" s="10"/>
      <c r="L415" s="55">
        <f>I415+J415+K415</f>
        <v>42751.2</v>
      </c>
      <c r="M415" s="54"/>
      <c r="N415" s="10"/>
      <c r="O415" s="55">
        <f>L415+M415+N415</f>
        <v>42751.2</v>
      </c>
      <c r="P415" s="142"/>
      <c r="Q415" s="143">
        <f>O415+P415</f>
        <v>42751.2</v>
      </c>
    </row>
    <row r="416" spans="1:17" ht="12.75">
      <c r="A416" s="67" t="s">
        <v>213</v>
      </c>
      <c r="B416" s="169"/>
      <c r="C416" s="179">
        <f>C417+C431</f>
        <v>95919.4</v>
      </c>
      <c r="D416" s="180">
        <f>D417+D431</f>
        <v>79342.31</v>
      </c>
      <c r="E416" s="180">
        <f>E417+E431</f>
        <v>0</v>
      </c>
      <c r="F416" s="181">
        <f>F417+F431</f>
        <v>175261.71</v>
      </c>
      <c r="G416" s="145"/>
      <c r="H416" s="7"/>
      <c r="I416" s="51"/>
      <c r="J416" s="50"/>
      <c r="K416" s="7"/>
      <c r="L416" s="51"/>
      <c r="M416" s="50"/>
      <c r="N416" s="7"/>
      <c r="O416" s="51"/>
      <c r="P416" s="129"/>
      <c r="Q416" s="127"/>
    </row>
    <row r="417" spans="1:17" ht="12.75">
      <c r="A417" s="76" t="s">
        <v>62</v>
      </c>
      <c r="B417" s="169"/>
      <c r="C417" s="191">
        <f>SUM(C418:C430)</f>
        <v>60419.399999999994</v>
      </c>
      <c r="D417" s="192">
        <f>SUM(D418:D430)</f>
        <v>38936.310000000005</v>
      </c>
      <c r="E417" s="192">
        <f>SUM(E418:E429)</f>
        <v>0</v>
      </c>
      <c r="F417" s="193">
        <f>SUM(F418:F430)</f>
        <v>99355.70999999999</v>
      </c>
      <c r="G417" s="145"/>
      <c r="H417" s="7"/>
      <c r="I417" s="51"/>
      <c r="J417" s="50"/>
      <c r="K417" s="7"/>
      <c r="L417" s="51"/>
      <c r="M417" s="50"/>
      <c r="N417" s="7"/>
      <c r="O417" s="51"/>
      <c r="P417" s="129"/>
      <c r="Q417" s="127"/>
    </row>
    <row r="418" spans="1:17" ht="12.75">
      <c r="A418" s="70" t="s">
        <v>246</v>
      </c>
      <c r="B418" s="165">
        <v>1202</v>
      </c>
      <c r="C418" s="184">
        <v>6725</v>
      </c>
      <c r="D418" s="182">
        <f>486.88</f>
        <v>486.88</v>
      </c>
      <c r="E418" s="182"/>
      <c r="F418" s="183">
        <f aca="true" t="shared" si="71" ref="F418:F430">C418+D418+E418</f>
        <v>7211.88</v>
      </c>
      <c r="G418" s="145"/>
      <c r="H418" s="7"/>
      <c r="I418" s="51"/>
      <c r="J418" s="50"/>
      <c r="K418" s="7"/>
      <c r="L418" s="51"/>
      <c r="M418" s="50"/>
      <c r="N418" s="7"/>
      <c r="O418" s="51"/>
      <c r="P418" s="129"/>
      <c r="Q418" s="127"/>
    </row>
    <row r="419" spans="1:17" ht="12.75">
      <c r="A419" s="70" t="s">
        <v>247</v>
      </c>
      <c r="B419" s="165">
        <v>1208</v>
      </c>
      <c r="C419" s="184">
        <v>2500</v>
      </c>
      <c r="D419" s="182">
        <f>2</f>
        <v>2</v>
      </c>
      <c r="E419" s="182"/>
      <c r="F419" s="183">
        <f t="shared" si="71"/>
        <v>2502</v>
      </c>
      <c r="G419" s="145"/>
      <c r="H419" s="7"/>
      <c r="I419" s="51"/>
      <c r="J419" s="50"/>
      <c r="K419" s="7"/>
      <c r="L419" s="51"/>
      <c r="M419" s="50"/>
      <c r="N419" s="7"/>
      <c r="O419" s="51"/>
      <c r="P419" s="129"/>
      <c r="Q419" s="127"/>
    </row>
    <row r="420" spans="1:17" ht="12.75">
      <c r="A420" s="70" t="s">
        <v>248</v>
      </c>
      <c r="B420" s="165">
        <v>1207</v>
      </c>
      <c r="C420" s="184">
        <v>5420</v>
      </c>
      <c r="D420" s="182">
        <f>198.64</f>
        <v>198.64</v>
      </c>
      <c r="E420" s="182"/>
      <c r="F420" s="183">
        <f t="shared" si="71"/>
        <v>5618.64</v>
      </c>
      <c r="G420" s="145"/>
      <c r="H420" s="7"/>
      <c r="I420" s="51"/>
      <c r="J420" s="50"/>
      <c r="K420" s="7"/>
      <c r="L420" s="51"/>
      <c r="M420" s="50"/>
      <c r="N420" s="7"/>
      <c r="O420" s="51"/>
      <c r="P420" s="129"/>
      <c r="Q420" s="127"/>
    </row>
    <row r="421" spans="1:17" ht="12.75">
      <c r="A421" s="70" t="s">
        <v>290</v>
      </c>
      <c r="B421" s="165">
        <v>1209</v>
      </c>
      <c r="C421" s="184">
        <v>3460</v>
      </c>
      <c r="D421" s="182">
        <f>59.69</f>
        <v>59.69</v>
      </c>
      <c r="E421" s="182"/>
      <c r="F421" s="183">
        <f t="shared" si="71"/>
        <v>3519.69</v>
      </c>
      <c r="G421" s="145"/>
      <c r="H421" s="7"/>
      <c r="I421" s="51"/>
      <c r="J421" s="50"/>
      <c r="K421" s="7"/>
      <c r="L421" s="51"/>
      <c r="M421" s="50"/>
      <c r="N421" s="7"/>
      <c r="O421" s="51"/>
      <c r="P421" s="129"/>
      <c r="Q421" s="127"/>
    </row>
    <row r="422" spans="1:17" ht="12.75">
      <c r="A422" s="70" t="s">
        <v>249</v>
      </c>
      <c r="B422" s="165">
        <v>1211</v>
      </c>
      <c r="C422" s="184">
        <v>4279</v>
      </c>
      <c r="D422" s="199">
        <f>2.81</f>
        <v>2.81</v>
      </c>
      <c r="E422" s="199"/>
      <c r="F422" s="183">
        <f t="shared" si="71"/>
        <v>4281.81</v>
      </c>
      <c r="G422" s="145"/>
      <c r="H422" s="7"/>
      <c r="I422" s="51"/>
      <c r="J422" s="50"/>
      <c r="K422" s="7"/>
      <c r="L422" s="51"/>
      <c r="M422" s="50"/>
      <c r="N422" s="7"/>
      <c r="O422" s="51"/>
      <c r="P422" s="129"/>
      <c r="Q422" s="127"/>
    </row>
    <row r="423" spans="1:17" ht="12.75">
      <c r="A423" s="70" t="s">
        <v>278</v>
      </c>
      <c r="B423" s="165">
        <v>1214</v>
      </c>
      <c r="C423" s="184">
        <v>1050</v>
      </c>
      <c r="D423" s="182">
        <v>-1050</v>
      </c>
      <c r="E423" s="182"/>
      <c r="F423" s="183">
        <f t="shared" si="71"/>
        <v>0</v>
      </c>
      <c r="G423" s="145"/>
      <c r="H423" s="7"/>
      <c r="I423" s="51"/>
      <c r="J423" s="50"/>
      <c r="K423" s="7"/>
      <c r="L423" s="51"/>
      <c r="M423" s="50"/>
      <c r="N423" s="7"/>
      <c r="O423" s="51"/>
      <c r="P423" s="129"/>
      <c r="Q423" s="127"/>
    </row>
    <row r="424" spans="1:17" ht="12.75">
      <c r="A424" s="70" t="s">
        <v>334</v>
      </c>
      <c r="B424" s="165">
        <v>1214</v>
      </c>
      <c r="C424" s="184"/>
      <c r="D424" s="199">
        <f>409+21</f>
        <v>430</v>
      </c>
      <c r="E424" s="182"/>
      <c r="F424" s="183">
        <f t="shared" si="71"/>
        <v>430</v>
      </c>
      <c r="G424" s="145"/>
      <c r="H424" s="7"/>
      <c r="I424" s="51"/>
      <c r="J424" s="50"/>
      <c r="K424" s="7"/>
      <c r="L424" s="51"/>
      <c r="M424" s="50"/>
      <c r="N424" s="7"/>
      <c r="O424" s="51"/>
      <c r="P424" s="129"/>
      <c r="Q424" s="127"/>
    </row>
    <row r="425" spans="1:17" ht="12.75">
      <c r="A425" s="70" t="s">
        <v>335</v>
      </c>
      <c r="B425" s="165"/>
      <c r="C425" s="184"/>
      <c r="D425" s="199">
        <f>641+21.41</f>
        <v>662.41</v>
      </c>
      <c r="E425" s="182"/>
      <c r="F425" s="183">
        <f t="shared" si="71"/>
        <v>662.41</v>
      </c>
      <c r="G425" s="145"/>
      <c r="H425" s="7"/>
      <c r="I425" s="51"/>
      <c r="J425" s="50"/>
      <c r="K425" s="7"/>
      <c r="L425" s="51"/>
      <c r="M425" s="50"/>
      <c r="N425" s="7"/>
      <c r="O425" s="51"/>
      <c r="P425" s="129"/>
      <c r="Q425" s="127"/>
    </row>
    <row r="426" spans="1:17" ht="12.75">
      <c r="A426" s="70" t="s">
        <v>279</v>
      </c>
      <c r="B426" s="165">
        <v>1216</v>
      </c>
      <c r="C426" s="184">
        <v>9190</v>
      </c>
      <c r="D426" s="182">
        <f>2500+360.9</f>
        <v>2860.9</v>
      </c>
      <c r="E426" s="182"/>
      <c r="F426" s="183">
        <f t="shared" si="71"/>
        <v>12050.9</v>
      </c>
      <c r="G426" s="145"/>
      <c r="H426" s="7"/>
      <c r="I426" s="51"/>
      <c r="J426" s="50"/>
      <c r="K426" s="7"/>
      <c r="L426" s="51"/>
      <c r="M426" s="50"/>
      <c r="N426" s="7"/>
      <c r="O426" s="51"/>
      <c r="P426" s="129"/>
      <c r="Q426" s="127"/>
    </row>
    <row r="427" spans="1:17" ht="12.75">
      <c r="A427" s="70" t="s">
        <v>250</v>
      </c>
      <c r="B427" s="165">
        <v>1239</v>
      </c>
      <c r="C427" s="184">
        <v>5769.7</v>
      </c>
      <c r="D427" s="182">
        <f>1000+8267.76</f>
        <v>9267.76</v>
      </c>
      <c r="E427" s="182"/>
      <c r="F427" s="183">
        <f t="shared" si="71"/>
        <v>15037.46</v>
      </c>
      <c r="G427" s="145"/>
      <c r="H427" s="7"/>
      <c r="I427" s="51"/>
      <c r="J427" s="50"/>
      <c r="K427" s="7"/>
      <c r="L427" s="51"/>
      <c r="M427" s="50"/>
      <c r="N427" s="7"/>
      <c r="O427" s="51"/>
      <c r="P427" s="129"/>
      <c r="Q427" s="127"/>
    </row>
    <row r="428" spans="1:17" ht="12.75">
      <c r="A428" s="70" t="s">
        <v>280</v>
      </c>
      <c r="B428" s="165">
        <v>1300</v>
      </c>
      <c r="C428" s="184">
        <v>12025.7</v>
      </c>
      <c r="D428" s="182">
        <f>4603.13-200+15394</f>
        <v>19797.13</v>
      </c>
      <c r="E428" s="182"/>
      <c r="F428" s="183">
        <f t="shared" si="71"/>
        <v>31822.83</v>
      </c>
      <c r="G428" s="145"/>
      <c r="H428" s="7"/>
      <c r="I428" s="51"/>
      <c r="J428" s="50"/>
      <c r="K428" s="7"/>
      <c r="L428" s="51"/>
      <c r="M428" s="50"/>
      <c r="N428" s="7"/>
      <c r="O428" s="51"/>
      <c r="P428" s="129"/>
      <c r="Q428" s="127"/>
    </row>
    <row r="429" spans="1:17" ht="12.75">
      <c r="A429" s="70" t="s">
        <v>251</v>
      </c>
      <c r="B429" s="165">
        <v>1110</v>
      </c>
      <c r="C429" s="184">
        <v>10000</v>
      </c>
      <c r="D429" s="182">
        <f>6138.65</f>
        <v>6138.65</v>
      </c>
      <c r="E429" s="182"/>
      <c r="F429" s="183">
        <f t="shared" si="71"/>
        <v>16138.65</v>
      </c>
      <c r="G429" s="145"/>
      <c r="H429" s="7"/>
      <c r="I429" s="51"/>
      <c r="J429" s="50"/>
      <c r="K429" s="7"/>
      <c r="L429" s="51"/>
      <c r="M429" s="50"/>
      <c r="N429" s="7"/>
      <c r="O429" s="51"/>
      <c r="P429" s="129"/>
      <c r="Q429" s="127"/>
    </row>
    <row r="430" spans="1:17" ht="12.75">
      <c r="A430" s="70" t="s">
        <v>64</v>
      </c>
      <c r="B430" s="165"/>
      <c r="C430" s="184"/>
      <c r="D430" s="182">
        <f>79.44</f>
        <v>79.44</v>
      </c>
      <c r="E430" s="182"/>
      <c r="F430" s="183">
        <f t="shared" si="71"/>
        <v>79.44</v>
      </c>
      <c r="G430" s="145"/>
      <c r="H430" s="7"/>
      <c r="I430" s="51"/>
      <c r="J430" s="50"/>
      <c r="K430" s="7"/>
      <c r="L430" s="51"/>
      <c r="M430" s="50"/>
      <c r="N430" s="7"/>
      <c r="O430" s="51"/>
      <c r="P430" s="129"/>
      <c r="Q430" s="127"/>
    </row>
    <row r="431" spans="1:17" ht="12.75">
      <c r="A431" s="76" t="s">
        <v>67</v>
      </c>
      <c r="B431" s="169"/>
      <c r="C431" s="191">
        <f>SUM(C433:C436)</f>
        <v>35500</v>
      </c>
      <c r="D431" s="192">
        <f>SUM(D433:D436)</f>
        <v>40406</v>
      </c>
      <c r="E431" s="192">
        <f>SUM(E436:E436)</f>
        <v>0</v>
      </c>
      <c r="F431" s="193">
        <f>SUM(F433:F436)</f>
        <v>75906</v>
      </c>
      <c r="G431" s="145"/>
      <c r="H431" s="7"/>
      <c r="I431" s="51"/>
      <c r="J431" s="50"/>
      <c r="K431" s="7"/>
      <c r="L431" s="51"/>
      <c r="M431" s="50"/>
      <c r="N431" s="7"/>
      <c r="O431" s="51"/>
      <c r="P431" s="129"/>
      <c r="Q431" s="127"/>
    </row>
    <row r="432" spans="1:17" ht="12.75">
      <c r="A432" s="72" t="s">
        <v>33</v>
      </c>
      <c r="B432" s="165"/>
      <c r="C432" s="184"/>
      <c r="D432" s="182"/>
      <c r="E432" s="182"/>
      <c r="F432" s="183"/>
      <c r="G432" s="145"/>
      <c r="H432" s="7"/>
      <c r="I432" s="51"/>
      <c r="J432" s="50"/>
      <c r="K432" s="7"/>
      <c r="L432" s="51"/>
      <c r="M432" s="50"/>
      <c r="N432" s="7"/>
      <c r="O432" s="51"/>
      <c r="P432" s="129"/>
      <c r="Q432" s="127"/>
    </row>
    <row r="433" spans="1:17" ht="12.75">
      <c r="A433" s="74" t="s">
        <v>269</v>
      </c>
      <c r="B433" s="165">
        <v>1239</v>
      </c>
      <c r="C433" s="184"/>
      <c r="D433" s="182">
        <f>7500+7500+16000</f>
        <v>31000</v>
      </c>
      <c r="E433" s="182"/>
      <c r="F433" s="183">
        <f>C433+D433+E433</f>
        <v>31000</v>
      </c>
      <c r="G433" s="145"/>
      <c r="H433" s="7"/>
      <c r="I433" s="51"/>
      <c r="J433" s="50"/>
      <c r="K433" s="7"/>
      <c r="L433" s="51"/>
      <c r="M433" s="50"/>
      <c r="N433" s="7"/>
      <c r="O433" s="51"/>
      <c r="P433" s="129"/>
      <c r="Q433" s="127"/>
    </row>
    <row r="434" spans="1:17" ht="12.75" hidden="1">
      <c r="A434" s="74" t="s">
        <v>136</v>
      </c>
      <c r="B434" s="165">
        <v>1214</v>
      </c>
      <c r="C434" s="184"/>
      <c r="D434" s="182"/>
      <c r="E434" s="182"/>
      <c r="F434" s="183">
        <f>C434+D434+E434</f>
        <v>0</v>
      </c>
      <c r="G434" s="145"/>
      <c r="H434" s="7"/>
      <c r="I434" s="51"/>
      <c r="J434" s="50"/>
      <c r="K434" s="7"/>
      <c r="L434" s="51"/>
      <c r="M434" s="50"/>
      <c r="N434" s="7"/>
      <c r="O434" s="51"/>
      <c r="P434" s="129"/>
      <c r="Q434" s="127"/>
    </row>
    <row r="435" spans="1:17" ht="12.75">
      <c r="A435" s="74" t="s">
        <v>288</v>
      </c>
      <c r="B435" s="165">
        <v>1300</v>
      </c>
      <c r="C435" s="184">
        <v>5500</v>
      </c>
      <c r="D435" s="182">
        <f>16306+50+550</f>
        <v>16906</v>
      </c>
      <c r="E435" s="182"/>
      <c r="F435" s="183">
        <f>C435+D435+E435</f>
        <v>22406</v>
      </c>
      <c r="G435" s="145"/>
      <c r="H435" s="7"/>
      <c r="I435" s="51"/>
      <c r="J435" s="50"/>
      <c r="K435" s="7"/>
      <c r="L435" s="51"/>
      <c r="M435" s="50"/>
      <c r="N435" s="7"/>
      <c r="O435" s="51"/>
      <c r="P435" s="129"/>
      <c r="Q435" s="127"/>
    </row>
    <row r="436" spans="1:17" ht="12.75">
      <c r="A436" s="73" t="s">
        <v>99</v>
      </c>
      <c r="B436" s="168">
        <v>1110</v>
      </c>
      <c r="C436" s="202">
        <v>30000</v>
      </c>
      <c r="D436" s="195">
        <f>-7500</f>
        <v>-7500</v>
      </c>
      <c r="E436" s="195"/>
      <c r="F436" s="246">
        <f>C436+D436+E436</f>
        <v>22500</v>
      </c>
      <c r="G436" s="145"/>
      <c r="H436" s="7"/>
      <c r="I436" s="51"/>
      <c r="J436" s="50"/>
      <c r="K436" s="7"/>
      <c r="L436" s="51"/>
      <c r="M436" s="50"/>
      <c r="N436" s="7"/>
      <c r="O436" s="51"/>
      <c r="P436" s="129"/>
      <c r="Q436" s="127"/>
    </row>
    <row r="437" spans="1:17" ht="12.75">
      <c r="A437" s="67" t="s">
        <v>170</v>
      </c>
      <c r="B437" s="169"/>
      <c r="C437" s="179">
        <f aca="true" t="shared" si="72" ref="C437:Q437">C438</f>
        <v>0</v>
      </c>
      <c r="D437" s="180">
        <f t="shared" si="72"/>
        <v>7279.26</v>
      </c>
      <c r="E437" s="180">
        <f t="shared" si="72"/>
        <v>0</v>
      </c>
      <c r="F437" s="181">
        <f t="shared" si="72"/>
        <v>7279.26</v>
      </c>
      <c r="G437" s="233"/>
      <c r="H437" s="6"/>
      <c r="I437" s="49">
        <f t="shared" si="72"/>
        <v>7279.26</v>
      </c>
      <c r="J437" s="48"/>
      <c r="K437" s="6"/>
      <c r="L437" s="49">
        <f t="shared" si="72"/>
        <v>7279.26</v>
      </c>
      <c r="M437" s="48"/>
      <c r="N437" s="6"/>
      <c r="O437" s="49">
        <f t="shared" si="72"/>
        <v>7279.26</v>
      </c>
      <c r="P437" s="130"/>
      <c r="Q437" s="107">
        <f t="shared" si="72"/>
        <v>7279.26</v>
      </c>
    </row>
    <row r="438" spans="1:17" ht="12.75">
      <c r="A438" s="76" t="s">
        <v>62</v>
      </c>
      <c r="B438" s="169"/>
      <c r="C438" s="191">
        <f aca="true" t="shared" si="73" ref="C438:O438">C440</f>
        <v>0</v>
      </c>
      <c r="D438" s="192">
        <f t="shared" si="73"/>
        <v>7279.26</v>
      </c>
      <c r="E438" s="192">
        <f>E440</f>
        <v>0</v>
      </c>
      <c r="F438" s="193">
        <f t="shared" si="73"/>
        <v>7279.26</v>
      </c>
      <c r="G438" s="234"/>
      <c r="H438" s="12"/>
      <c r="I438" s="59">
        <f t="shared" si="73"/>
        <v>7279.26</v>
      </c>
      <c r="J438" s="58"/>
      <c r="K438" s="12"/>
      <c r="L438" s="59">
        <f t="shared" si="73"/>
        <v>7279.26</v>
      </c>
      <c r="M438" s="58"/>
      <c r="N438" s="12"/>
      <c r="O438" s="59">
        <f t="shared" si="73"/>
        <v>7279.26</v>
      </c>
      <c r="P438" s="134"/>
      <c r="Q438" s="108">
        <f>Q440</f>
        <v>7279.26</v>
      </c>
    </row>
    <row r="439" spans="1:17" ht="12.75">
      <c r="A439" s="72" t="s">
        <v>33</v>
      </c>
      <c r="B439" s="165"/>
      <c r="C439" s="184"/>
      <c r="D439" s="182"/>
      <c r="E439" s="182"/>
      <c r="F439" s="183"/>
      <c r="G439" s="228"/>
      <c r="H439" s="7"/>
      <c r="I439" s="51"/>
      <c r="J439" s="50"/>
      <c r="K439" s="7"/>
      <c r="L439" s="51"/>
      <c r="M439" s="50"/>
      <c r="N439" s="7"/>
      <c r="O439" s="51"/>
      <c r="P439" s="129"/>
      <c r="Q439" s="127"/>
    </row>
    <row r="440" spans="1:17" ht="12.75">
      <c r="A440" s="73" t="s">
        <v>64</v>
      </c>
      <c r="B440" s="168"/>
      <c r="C440" s="194">
        <v>0</v>
      </c>
      <c r="D440" s="195">
        <f>7279.26</f>
        <v>7279.26</v>
      </c>
      <c r="E440" s="195"/>
      <c r="F440" s="183">
        <f>C440+D440+E440</f>
        <v>7279.26</v>
      </c>
      <c r="G440" s="16"/>
      <c r="H440" s="10"/>
      <c r="I440" s="55">
        <f>F440+G440+H440</f>
        <v>7279.26</v>
      </c>
      <c r="J440" s="54"/>
      <c r="K440" s="10"/>
      <c r="L440" s="55">
        <f>I440+J440+K440</f>
        <v>7279.26</v>
      </c>
      <c r="M440" s="54"/>
      <c r="N440" s="10"/>
      <c r="O440" s="55">
        <f>L440+M440+N440</f>
        <v>7279.26</v>
      </c>
      <c r="P440" s="142"/>
      <c r="Q440" s="143">
        <f>O440+P440</f>
        <v>7279.26</v>
      </c>
    </row>
    <row r="441" spans="1:17" ht="12.75">
      <c r="A441" s="67" t="s">
        <v>125</v>
      </c>
      <c r="B441" s="169"/>
      <c r="C441" s="179">
        <f>C443+C444</f>
        <v>329085</v>
      </c>
      <c r="D441" s="203">
        <f>D443+D444</f>
        <v>382556.16</v>
      </c>
      <c r="E441" s="203">
        <f>E443+E444</f>
        <v>0</v>
      </c>
      <c r="F441" s="204">
        <f>F443+F444</f>
        <v>711641.1599999999</v>
      </c>
      <c r="G441" s="227"/>
      <c r="H441" s="6"/>
      <c r="I441" s="49" t="e">
        <f>I443+I444</f>
        <v>#REF!</v>
      </c>
      <c r="J441" s="48"/>
      <c r="K441" s="6"/>
      <c r="L441" s="49" t="e">
        <f>L443+L444</f>
        <v>#REF!</v>
      </c>
      <c r="M441" s="48"/>
      <c r="N441" s="6"/>
      <c r="O441" s="49" t="e">
        <f>O443+O444</f>
        <v>#REF!</v>
      </c>
      <c r="P441" s="130"/>
      <c r="Q441" s="107" t="e">
        <f>Q443+Q444</f>
        <v>#REF!</v>
      </c>
    </row>
    <row r="442" spans="1:17" ht="12.75">
      <c r="A442" s="69" t="s">
        <v>33</v>
      </c>
      <c r="B442" s="165"/>
      <c r="C442" s="179"/>
      <c r="D442" s="180"/>
      <c r="E442" s="180"/>
      <c r="F442" s="181"/>
      <c r="G442" s="227"/>
      <c r="H442" s="6"/>
      <c r="I442" s="49"/>
      <c r="J442" s="48"/>
      <c r="K442" s="6"/>
      <c r="L442" s="49"/>
      <c r="M442" s="48"/>
      <c r="N442" s="6"/>
      <c r="O442" s="49"/>
      <c r="P442" s="130"/>
      <c r="Q442" s="107"/>
    </row>
    <row r="443" spans="1:17" ht="12.75">
      <c r="A443" s="67" t="s">
        <v>62</v>
      </c>
      <c r="B443" s="169"/>
      <c r="C443" s="185">
        <f>C458+C460+C472+C474+C479+C484+C475+C465+C486+C467</f>
        <v>30547</v>
      </c>
      <c r="D443" s="186">
        <f>D458+D460+D472+D474+D479+D484+D475+D465+D486+D467</f>
        <v>132930.69</v>
      </c>
      <c r="E443" s="186">
        <f>E458+E460+E472+E474+E479+E484+E475+E465+E486+E467</f>
        <v>0</v>
      </c>
      <c r="F443" s="187">
        <f>F458+F460+F472+F474+F479+F484+F475+F465+F486+F467</f>
        <v>163477.69</v>
      </c>
      <c r="G443" s="233"/>
      <c r="H443" s="102"/>
      <c r="I443" s="49">
        <f>I460+I472+I474+I479+I484+I475+I465+I486+I467</f>
        <v>67949.84</v>
      </c>
      <c r="J443" s="48"/>
      <c r="K443" s="6"/>
      <c r="L443" s="49">
        <f>L460+L472+L474+L479+L484+L475+L465+L486+L467</f>
        <v>67949.84</v>
      </c>
      <c r="M443" s="48"/>
      <c r="N443" s="6"/>
      <c r="O443" s="49">
        <f>O458+O460+O467+O479+O484+O475+O465+O472+O474+O486</f>
        <v>163477.69000000003</v>
      </c>
      <c r="P443" s="130"/>
      <c r="Q443" s="107">
        <f>Q458+Q460+Q467+Q479+Q484+Q475+Q465+Q472+Q474+Q486</f>
        <v>163477.69000000003</v>
      </c>
    </row>
    <row r="444" spans="1:17" ht="12.75">
      <c r="A444" s="67" t="s">
        <v>67</v>
      </c>
      <c r="B444" s="169"/>
      <c r="C444" s="185">
        <f>C447+C448+C450+C451+C453+C455+C456+C457+C461+C462+C464+C466+C468+C470+C471+C473+C476+C478+C480+C481+C483+C485+C487+C488</f>
        <v>298538</v>
      </c>
      <c r="D444" s="186">
        <f>D447+D448+D450+D451+D453+D455+D456+D457+D461+D462+D464+D466+D468+D470+D471+D473+D476+D478+D480+D481+D483+D485+D487+D488</f>
        <v>249625.46999999997</v>
      </c>
      <c r="E444" s="186">
        <f>E447+E448+E450+E451+E453+E455+E456+E457+E461+E462+E464+E466+E468+E470+E471+E473+E476+E478+E480+E481+E483+E485+E487+E488</f>
        <v>0</v>
      </c>
      <c r="F444" s="187">
        <f>F447+F448+F450+F451+F453+F455+F456+F457+F461+F462+F464+F466+F468+F470+F471+F473+F476+F478+F480+F481+F483+F485+F487+F488</f>
        <v>548163.47</v>
      </c>
      <c r="G444" s="233"/>
      <c r="H444" s="6"/>
      <c r="I444" s="49" t="e">
        <f>I447+I448+I450+I451+I455+I456+I457+I461+I462+I464+I466+I468+I470+I471+I473+I476+I478+I480+I481+I483+I485+I487+#REF!</f>
        <v>#REF!</v>
      </c>
      <c r="J444" s="48"/>
      <c r="K444" s="6"/>
      <c r="L444" s="49" t="e">
        <f>L447+L448+L450+L451+L455+L456+L457+L461+L462+L464+L466+L468+L470+L471+L473+L476+L478+L480+L481+L483+L485+L487+#REF!</f>
        <v>#REF!</v>
      </c>
      <c r="M444" s="48"/>
      <c r="N444" s="6"/>
      <c r="O444" s="49" t="e">
        <f>O447+O448+O450+O451+O455+O456+O457+O461+O462+O464+O466+O468+O470+O471+O473+O476+O478+O480+O481+O483+O485+O487+#REF!</f>
        <v>#REF!</v>
      </c>
      <c r="P444" s="130"/>
      <c r="Q444" s="107" t="e">
        <f>Q447+Q448+Q450+Q451+Q455+Q456+Q457+Q461+Q462+Q464+Q466+Q468+Q470+Q471+Q473+Q476+Q478+Q480+Q481+Q483+Q485+Q487+#REF!</f>
        <v>#REF!</v>
      </c>
    </row>
    <row r="445" spans="1:17" ht="12.75">
      <c r="A445" s="68" t="s">
        <v>126</v>
      </c>
      <c r="B445" s="165"/>
      <c r="C445" s="179"/>
      <c r="D445" s="180"/>
      <c r="E445" s="180"/>
      <c r="F445" s="181"/>
      <c r="G445" s="227"/>
      <c r="H445" s="6"/>
      <c r="I445" s="49"/>
      <c r="J445" s="48"/>
      <c r="K445" s="6"/>
      <c r="L445" s="49"/>
      <c r="M445" s="48"/>
      <c r="N445" s="6"/>
      <c r="O445" s="49"/>
      <c r="P445" s="129"/>
      <c r="Q445" s="127"/>
    </row>
    <row r="446" spans="1:17" ht="12.75">
      <c r="A446" s="69" t="s">
        <v>127</v>
      </c>
      <c r="B446" s="165">
        <v>18</v>
      </c>
      <c r="C446" s="184">
        <f>C447+C448</f>
        <v>1000</v>
      </c>
      <c r="D446" s="182">
        <f>D447+D448</f>
        <v>0</v>
      </c>
      <c r="E446" s="182">
        <f>E447+E448</f>
        <v>0</v>
      </c>
      <c r="F446" s="183">
        <f>F447+F448</f>
        <v>1000</v>
      </c>
      <c r="G446" s="228"/>
      <c r="H446" s="7"/>
      <c r="I446" s="51">
        <f>I447+I448</f>
        <v>1000</v>
      </c>
      <c r="J446" s="50"/>
      <c r="K446" s="7"/>
      <c r="L446" s="51">
        <f>L447+L448</f>
        <v>1000</v>
      </c>
      <c r="M446" s="50"/>
      <c r="N446" s="7"/>
      <c r="O446" s="51">
        <f>O447+O448</f>
        <v>1000</v>
      </c>
      <c r="P446" s="131"/>
      <c r="Q446" s="116">
        <f>Q447+Q448</f>
        <v>1000</v>
      </c>
    </row>
    <row r="447" spans="1:17" ht="12.75">
      <c r="A447" s="69" t="s">
        <v>128</v>
      </c>
      <c r="B447" s="165"/>
      <c r="C447" s="184">
        <v>1000</v>
      </c>
      <c r="D447" s="182"/>
      <c r="E447" s="182"/>
      <c r="F447" s="183">
        <f aca="true" t="shared" si="74" ref="F447:F491">C447+D447+E447</f>
        <v>1000</v>
      </c>
      <c r="G447" s="228"/>
      <c r="H447" s="6"/>
      <c r="I447" s="51">
        <f>F447+G447+H447</f>
        <v>1000</v>
      </c>
      <c r="J447" s="50"/>
      <c r="K447" s="6"/>
      <c r="L447" s="51">
        <f>I447+J447+K447</f>
        <v>1000</v>
      </c>
      <c r="M447" s="50"/>
      <c r="N447" s="6"/>
      <c r="O447" s="51">
        <f>L447+M447+N447</f>
        <v>1000</v>
      </c>
      <c r="P447" s="129"/>
      <c r="Q447" s="127">
        <f>O447+P447</f>
        <v>1000</v>
      </c>
    </row>
    <row r="448" spans="1:17" ht="12.75" hidden="1">
      <c r="A448" s="69" t="s">
        <v>129</v>
      </c>
      <c r="B448" s="165"/>
      <c r="C448" s="184">
        <v>0</v>
      </c>
      <c r="D448" s="182"/>
      <c r="E448" s="182"/>
      <c r="F448" s="183">
        <f t="shared" si="74"/>
        <v>0</v>
      </c>
      <c r="G448" s="228"/>
      <c r="H448" s="6"/>
      <c r="I448" s="51">
        <f>F448+G448+H448</f>
        <v>0</v>
      </c>
      <c r="J448" s="50"/>
      <c r="K448" s="6"/>
      <c r="L448" s="51">
        <f>I448+J448+K448</f>
        <v>0</v>
      </c>
      <c r="M448" s="50"/>
      <c r="N448" s="6"/>
      <c r="O448" s="51">
        <f>L448+M448+N448</f>
        <v>0</v>
      </c>
      <c r="P448" s="129"/>
      <c r="Q448" s="127">
        <f>O448+P448</f>
        <v>0</v>
      </c>
    </row>
    <row r="449" spans="1:17" ht="12.75">
      <c r="A449" s="69" t="s">
        <v>130</v>
      </c>
      <c r="B449" s="165">
        <v>19</v>
      </c>
      <c r="C449" s="184">
        <f>C450+C451</f>
        <v>6358</v>
      </c>
      <c r="D449" s="182">
        <f>D450+D451</f>
        <v>3068.39</v>
      </c>
      <c r="E449" s="182">
        <f>E450+E451</f>
        <v>0</v>
      </c>
      <c r="F449" s="183">
        <f>F450+F451</f>
        <v>9426.39</v>
      </c>
      <c r="G449" s="228"/>
      <c r="H449" s="7"/>
      <c r="I449" s="51">
        <f>I450+I451</f>
        <v>9426.39</v>
      </c>
      <c r="J449" s="50"/>
      <c r="K449" s="7"/>
      <c r="L449" s="51">
        <f>L450+L451</f>
        <v>9426.39</v>
      </c>
      <c r="M449" s="50"/>
      <c r="N449" s="7"/>
      <c r="O449" s="51">
        <f>O450+O451</f>
        <v>9426.39</v>
      </c>
      <c r="P449" s="131"/>
      <c r="Q449" s="116">
        <f>Q450+Q451</f>
        <v>9426.39</v>
      </c>
    </row>
    <row r="450" spans="1:17" ht="12.75">
      <c r="A450" s="69" t="s">
        <v>128</v>
      </c>
      <c r="B450" s="165"/>
      <c r="C450" s="184">
        <v>6358</v>
      </c>
      <c r="D450" s="182">
        <f>220+180+280+2300</f>
        <v>2980</v>
      </c>
      <c r="E450" s="182"/>
      <c r="F450" s="183">
        <f t="shared" si="74"/>
        <v>9338</v>
      </c>
      <c r="G450" s="228"/>
      <c r="H450" s="6"/>
      <c r="I450" s="51">
        <f>F450+G450+H450</f>
        <v>9338</v>
      </c>
      <c r="J450" s="50"/>
      <c r="K450" s="6"/>
      <c r="L450" s="51">
        <f>I450+J450+K450</f>
        <v>9338</v>
      </c>
      <c r="M450" s="50"/>
      <c r="N450" s="6"/>
      <c r="O450" s="51">
        <f>L450+M450+N450</f>
        <v>9338</v>
      </c>
      <c r="P450" s="129"/>
      <c r="Q450" s="127">
        <f>O450+P450</f>
        <v>9338</v>
      </c>
    </row>
    <row r="451" spans="1:17" ht="12.75">
      <c r="A451" s="78" t="s">
        <v>129</v>
      </c>
      <c r="B451" s="168"/>
      <c r="C451" s="194"/>
      <c r="D451" s="195">
        <f>268.39-180</f>
        <v>88.38999999999999</v>
      </c>
      <c r="E451" s="195"/>
      <c r="F451" s="246">
        <f t="shared" si="74"/>
        <v>88.38999999999999</v>
      </c>
      <c r="G451" s="228"/>
      <c r="H451" s="6"/>
      <c r="I451" s="51">
        <f>F451+G451+H451</f>
        <v>88.38999999999999</v>
      </c>
      <c r="J451" s="50"/>
      <c r="K451" s="6"/>
      <c r="L451" s="51">
        <f>I451+J451+K451</f>
        <v>88.38999999999999</v>
      </c>
      <c r="M451" s="50"/>
      <c r="N451" s="6"/>
      <c r="O451" s="51">
        <f>L451+M451+N451</f>
        <v>88.38999999999999</v>
      </c>
      <c r="P451" s="129"/>
      <c r="Q451" s="127">
        <f>O451+P451</f>
        <v>88.38999999999999</v>
      </c>
    </row>
    <row r="452" spans="1:17" ht="12.75" hidden="1">
      <c r="A452" s="70" t="s">
        <v>207</v>
      </c>
      <c r="B452" s="165">
        <v>2</v>
      </c>
      <c r="C452" s="184">
        <f>C453</f>
        <v>0</v>
      </c>
      <c r="D452" s="182">
        <f>D453</f>
        <v>0</v>
      </c>
      <c r="E452" s="182">
        <f>E453</f>
        <v>0</v>
      </c>
      <c r="F452" s="183">
        <f>F453</f>
        <v>0</v>
      </c>
      <c r="G452" s="228"/>
      <c r="H452" s="6"/>
      <c r="I452" s="51"/>
      <c r="J452" s="50"/>
      <c r="K452" s="6"/>
      <c r="L452" s="51"/>
      <c r="M452" s="50"/>
      <c r="N452" s="6"/>
      <c r="O452" s="51"/>
      <c r="P452" s="129"/>
      <c r="Q452" s="127"/>
    </row>
    <row r="453" spans="1:17" ht="12.75" hidden="1">
      <c r="A453" s="70" t="s">
        <v>208</v>
      </c>
      <c r="B453" s="165"/>
      <c r="C453" s="184"/>
      <c r="D453" s="182"/>
      <c r="E453" s="182"/>
      <c r="F453" s="183">
        <f t="shared" si="74"/>
        <v>0</v>
      </c>
      <c r="G453" s="228"/>
      <c r="H453" s="6"/>
      <c r="I453" s="51"/>
      <c r="J453" s="50"/>
      <c r="K453" s="6"/>
      <c r="L453" s="51"/>
      <c r="M453" s="50"/>
      <c r="N453" s="6"/>
      <c r="O453" s="51"/>
      <c r="P453" s="129"/>
      <c r="Q453" s="127"/>
    </row>
    <row r="454" spans="1:17" ht="12.75">
      <c r="A454" s="69" t="s">
        <v>131</v>
      </c>
      <c r="B454" s="165">
        <v>10</v>
      </c>
      <c r="C454" s="184">
        <f>SUM(C455:C458)</f>
        <v>34000</v>
      </c>
      <c r="D454" s="182">
        <f>SUM(D455:D458)</f>
        <v>130202.56</v>
      </c>
      <c r="E454" s="182">
        <f>SUM(E455:E458)</f>
        <v>0</v>
      </c>
      <c r="F454" s="183">
        <f>SUM(F455:F458)</f>
        <v>164202.56</v>
      </c>
      <c r="G454" s="228"/>
      <c r="H454" s="7"/>
      <c r="I454" s="51">
        <f>SUM(I455:I458)</f>
        <v>164202.56</v>
      </c>
      <c r="J454" s="50"/>
      <c r="K454" s="7"/>
      <c r="L454" s="51">
        <f>SUM(L455:L457)</f>
        <v>68674.70999999999</v>
      </c>
      <c r="M454" s="50"/>
      <c r="N454" s="7"/>
      <c r="O454" s="51">
        <f>SUM(O455:O457)</f>
        <v>68674.70999999999</v>
      </c>
      <c r="P454" s="131"/>
      <c r="Q454" s="116">
        <f>SUM(Q455:Q457)</f>
        <v>68674.70999999999</v>
      </c>
    </row>
    <row r="455" spans="1:17" ht="12.75">
      <c r="A455" s="69" t="s">
        <v>132</v>
      </c>
      <c r="B455" s="165"/>
      <c r="C455" s="184">
        <v>0</v>
      </c>
      <c r="D455" s="182"/>
      <c r="E455" s="182"/>
      <c r="F455" s="183">
        <f t="shared" si="74"/>
        <v>0</v>
      </c>
      <c r="G455" s="228"/>
      <c r="H455" s="7"/>
      <c r="I455" s="51">
        <f>F455+G455+H455</f>
        <v>0</v>
      </c>
      <c r="J455" s="50"/>
      <c r="K455" s="7"/>
      <c r="L455" s="51">
        <f>I455+J455+K455</f>
        <v>0</v>
      </c>
      <c r="M455" s="50"/>
      <c r="N455" s="7"/>
      <c r="O455" s="51">
        <f>L455+M455+N455</f>
        <v>0</v>
      </c>
      <c r="P455" s="129"/>
      <c r="Q455" s="127">
        <f>O455+P455</f>
        <v>0</v>
      </c>
    </row>
    <row r="456" spans="1:17" ht="12.75">
      <c r="A456" s="69" t="s">
        <v>133</v>
      </c>
      <c r="B456" s="165"/>
      <c r="C456" s="184">
        <v>34000</v>
      </c>
      <c r="D456" s="199">
        <f>18640.81+15000</f>
        <v>33640.81</v>
      </c>
      <c r="E456" s="199"/>
      <c r="F456" s="183">
        <f t="shared" si="74"/>
        <v>67640.81</v>
      </c>
      <c r="G456" s="228"/>
      <c r="H456" s="7"/>
      <c r="I456" s="51">
        <f>F456+G456+H456</f>
        <v>67640.81</v>
      </c>
      <c r="J456" s="50"/>
      <c r="K456" s="7"/>
      <c r="L456" s="51">
        <f>I456+J456+K456</f>
        <v>67640.81</v>
      </c>
      <c r="M456" s="50"/>
      <c r="N456" s="7"/>
      <c r="O456" s="51">
        <f>L456+M456+N456</f>
        <v>67640.81</v>
      </c>
      <c r="P456" s="129"/>
      <c r="Q456" s="127">
        <f>O456+P456</f>
        <v>67640.81</v>
      </c>
    </row>
    <row r="457" spans="1:17" ht="12.75">
      <c r="A457" s="69" t="s">
        <v>129</v>
      </c>
      <c r="B457" s="165"/>
      <c r="C457" s="184"/>
      <c r="D457" s="182">
        <f>1033.9</f>
        <v>1033.9</v>
      </c>
      <c r="E457" s="182"/>
      <c r="F457" s="183">
        <f t="shared" si="74"/>
        <v>1033.9</v>
      </c>
      <c r="G457" s="228"/>
      <c r="H457" s="7"/>
      <c r="I457" s="51">
        <f>F457+G457+H457</f>
        <v>1033.9</v>
      </c>
      <c r="J457" s="50"/>
      <c r="K457" s="7"/>
      <c r="L457" s="51">
        <f>I457+J457+K457</f>
        <v>1033.9</v>
      </c>
      <c r="M457" s="50"/>
      <c r="N457" s="7"/>
      <c r="O457" s="51">
        <f>L457+M457+N457</f>
        <v>1033.9</v>
      </c>
      <c r="P457" s="129"/>
      <c r="Q457" s="127">
        <f>O457+P457</f>
        <v>1033.9</v>
      </c>
    </row>
    <row r="458" spans="1:17" ht="12.75">
      <c r="A458" s="70" t="s">
        <v>159</v>
      </c>
      <c r="B458" s="165"/>
      <c r="C458" s="184"/>
      <c r="D458" s="248">
        <f>527.85+95000</f>
        <v>95527.85</v>
      </c>
      <c r="E458" s="182"/>
      <c r="F458" s="183">
        <f t="shared" si="74"/>
        <v>95527.85</v>
      </c>
      <c r="G458" s="228"/>
      <c r="H458" s="7"/>
      <c r="I458" s="51">
        <f>F458+G458+H458</f>
        <v>95527.85</v>
      </c>
      <c r="J458" s="50"/>
      <c r="K458" s="7"/>
      <c r="L458" s="51">
        <f>I458+J458+K458</f>
        <v>95527.85</v>
      </c>
      <c r="M458" s="50"/>
      <c r="N458" s="7"/>
      <c r="O458" s="51">
        <f>L458+M458+N458</f>
        <v>95527.85</v>
      </c>
      <c r="P458" s="129"/>
      <c r="Q458" s="127">
        <f>O458+P458</f>
        <v>95527.85</v>
      </c>
    </row>
    <row r="459" spans="1:17" ht="12.75">
      <c r="A459" s="69" t="s">
        <v>134</v>
      </c>
      <c r="B459" s="165">
        <v>12</v>
      </c>
      <c r="C459" s="184">
        <f aca="true" t="shared" si="75" ref="C459:Q459">C460+C461+C462</f>
        <v>5277</v>
      </c>
      <c r="D459" s="182">
        <f t="shared" si="75"/>
        <v>28110</v>
      </c>
      <c r="E459" s="182">
        <f>E460+E461+E462</f>
        <v>0</v>
      </c>
      <c r="F459" s="183">
        <f t="shared" si="75"/>
        <v>33387</v>
      </c>
      <c r="G459" s="145"/>
      <c r="H459" s="7"/>
      <c r="I459" s="51">
        <f t="shared" si="75"/>
        <v>33387</v>
      </c>
      <c r="J459" s="50"/>
      <c r="K459" s="7"/>
      <c r="L459" s="51">
        <f t="shared" si="75"/>
        <v>33387</v>
      </c>
      <c r="M459" s="50"/>
      <c r="N459" s="7"/>
      <c r="O459" s="51">
        <f t="shared" si="75"/>
        <v>33387</v>
      </c>
      <c r="P459" s="131"/>
      <c r="Q459" s="116">
        <f t="shared" si="75"/>
        <v>33387</v>
      </c>
    </row>
    <row r="460" spans="1:17" ht="12.75">
      <c r="A460" s="69" t="s">
        <v>135</v>
      </c>
      <c r="B460" s="165"/>
      <c r="C460" s="184">
        <v>2337</v>
      </c>
      <c r="D460" s="182">
        <f>476.13-100</f>
        <v>376.13</v>
      </c>
      <c r="E460" s="182"/>
      <c r="F460" s="183">
        <f t="shared" si="74"/>
        <v>2713.13</v>
      </c>
      <c r="G460" s="228"/>
      <c r="H460" s="7"/>
      <c r="I460" s="51">
        <f>F460+G460+H460</f>
        <v>2713.13</v>
      </c>
      <c r="J460" s="50"/>
      <c r="K460" s="7"/>
      <c r="L460" s="51">
        <f>I460+J460+K460</f>
        <v>2713.13</v>
      </c>
      <c r="M460" s="50"/>
      <c r="N460" s="7"/>
      <c r="O460" s="51">
        <f>L460+M460+N460</f>
        <v>2713.13</v>
      </c>
      <c r="P460" s="129"/>
      <c r="Q460" s="127">
        <f>O460+P460</f>
        <v>2713.13</v>
      </c>
    </row>
    <row r="461" spans="1:17" ht="12.75">
      <c r="A461" s="69" t="s">
        <v>133</v>
      </c>
      <c r="B461" s="165"/>
      <c r="C461" s="184">
        <v>2940</v>
      </c>
      <c r="D461" s="182">
        <f>29473.87-1740</f>
        <v>27733.87</v>
      </c>
      <c r="E461" s="182"/>
      <c r="F461" s="183">
        <f t="shared" si="74"/>
        <v>30673.87</v>
      </c>
      <c r="G461" s="228"/>
      <c r="H461" s="7"/>
      <c r="I461" s="51">
        <f>F461+G461+H461</f>
        <v>30673.87</v>
      </c>
      <c r="J461" s="50"/>
      <c r="K461" s="7"/>
      <c r="L461" s="51">
        <f>I461+J461+K461</f>
        <v>30673.87</v>
      </c>
      <c r="M461" s="50"/>
      <c r="N461" s="7"/>
      <c r="O461" s="51">
        <f>L461+M461+N461</f>
        <v>30673.87</v>
      </c>
      <c r="P461" s="129"/>
      <c r="Q461" s="127">
        <f>O461+P461</f>
        <v>30673.87</v>
      </c>
    </row>
    <row r="462" spans="1:17" ht="12.75" customHeight="1" hidden="1">
      <c r="A462" s="69" t="s">
        <v>129</v>
      </c>
      <c r="B462" s="165"/>
      <c r="C462" s="184"/>
      <c r="D462" s="182"/>
      <c r="E462" s="182"/>
      <c r="F462" s="183">
        <f t="shared" si="74"/>
        <v>0</v>
      </c>
      <c r="G462" s="228"/>
      <c r="H462" s="7"/>
      <c r="I462" s="51">
        <f>F462+G462+H462</f>
        <v>0</v>
      </c>
      <c r="J462" s="50"/>
      <c r="K462" s="7"/>
      <c r="L462" s="51">
        <f>I462+J462+K462</f>
        <v>0</v>
      </c>
      <c r="M462" s="50"/>
      <c r="N462" s="7"/>
      <c r="O462" s="51">
        <f>L462+M462+N462</f>
        <v>0</v>
      </c>
      <c r="P462" s="129"/>
      <c r="Q462" s="127">
        <f>O462+P462</f>
        <v>0</v>
      </c>
    </row>
    <row r="463" spans="1:17" ht="12.75">
      <c r="A463" s="69" t="s">
        <v>136</v>
      </c>
      <c r="B463" s="165">
        <v>14</v>
      </c>
      <c r="C463" s="184">
        <f>SUM(C464:C468)</f>
        <v>44000</v>
      </c>
      <c r="D463" s="182">
        <f>SUM(D464:D468)</f>
        <v>67659.7</v>
      </c>
      <c r="E463" s="182">
        <f>SUM(E464:E468)</f>
        <v>0</v>
      </c>
      <c r="F463" s="183">
        <f>SUM(F464:F468)</f>
        <v>111659.7</v>
      </c>
      <c r="G463" s="228"/>
      <c r="H463" s="7"/>
      <c r="I463" s="51">
        <f>SUM(I464:I468)</f>
        <v>111659.7</v>
      </c>
      <c r="J463" s="50"/>
      <c r="K463" s="7"/>
      <c r="L463" s="51">
        <f>SUM(L464:L468)</f>
        <v>111659.7</v>
      </c>
      <c r="M463" s="50"/>
      <c r="N463" s="7"/>
      <c r="O463" s="51">
        <f>SUM(O464:O468)</f>
        <v>111659.7</v>
      </c>
      <c r="P463" s="131"/>
      <c r="Q463" s="116">
        <f>SUM(Q464:Q468)</f>
        <v>111659.7</v>
      </c>
    </row>
    <row r="464" spans="1:17" ht="12.75">
      <c r="A464" s="69" t="s">
        <v>137</v>
      </c>
      <c r="B464" s="165"/>
      <c r="C464" s="184">
        <v>23090</v>
      </c>
      <c r="D464" s="199">
        <f>12109.7+17500+51</f>
        <v>29660.7</v>
      </c>
      <c r="E464" s="199"/>
      <c r="F464" s="183">
        <f t="shared" si="74"/>
        <v>52750.7</v>
      </c>
      <c r="G464" s="228"/>
      <c r="H464" s="7"/>
      <c r="I464" s="51">
        <f>F464+G464+H464</f>
        <v>52750.7</v>
      </c>
      <c r="J464" s="50"/>
      <c r="K464" s="7"/>
      <c r="L464" s="51">
        <f>I464+J464+K464</f>
        <v>52750.7</v>
      </c>
      <c r="M464" s="50"/>
      <c r="N464" s="7"/>
      <c r="O464" s="51">
        <f>L464+M464+N464</f>
        <v>52750.7</v>
      </c>
      <c r="P464" s="129"/>
      <c r="Q464" s="127">
        <f aca="true" t="shared" si="76" ref="Q464:Q504">O464+P464</f>
        <v>52750.7</v>
      </c>
    </row>
    <row r="465" spans="1:17" ht="12.75">
      <c r="A465" s="69" t="s">
        <v>138</v>
      </c>
      <c r="B465" s="165"/>
      <c r="C465" s="184">
        <v>20910</v>
      </c>
      <c r="D465" s="182">
        <f>9101+14400-51</f>
        <v>23450</v>
      </c>
      <c r="E465" s="182"/>
      <c r="F465" s="183">
        <f t="shared" si="74"/>
        <v>44360</v>
      </c>
      <c r="G465" s="228"/>
      <c r="H465" s="7"/>
      <c r="I465" s="51">
        <f>F465+G465+H465</f>
        <v>44360</v>
      </c>
      <c r="J465" s="50"/>
      <c r="K465" s="7"/>
      <c r="L465" s="51">
        <f>I465+J465+K465</f>
        <v>44360</v>
      </c>
      <c r="M465" s="50"/>
      <c r="N465" s="7"/>
      <c r="O465" s="51">
        <f>L465+M465+N465</f>
        <v>44360</v>
      </c>
      <c r="P465" s="129"/>
      <c r="Q465" s="127">
        <f t="shared" si="76"/>
        <v>44360</v>
      </c>
    </row>
    <row r="466" spans="1:17" ht="13.5" customHeight="1">
      <c r="A466" s="69" t="s">
        <v>139</v>
      </c>
      <c r="B466" s="165"/>
      <c r="C466" s="184"/>
      <c r="D466" s="182">
        <f>12581.5+1100</f>
        <v>13681.5</v>
      </c>
      <c r="E466" s="182"/>
      <c r="F466" s="183">
        <f t="shared" si="74"/>
        <v>13681.5</v>
      </c>
      <c r="G466" s="228"/>
      <c r="H466" s="7"/>
      <c r="I466" s="51">
        <f>F466+G466+H466</f>
        <v>13681.5</v>
      </c>
      <c r="J466" s="50"/>
      <c r="K466" s="7"/>
      <c r="L466" s="51">
        <f>I466+J466+K466</f>
        <v>13681.5</v>
      </c>
      <c r="M466" s="50"/>
      <c r="N466" s="7"/>
      <c r="O466" s="51">
        <f>L466+M466+N466</f>
        <v>13681.5</v>
      </c>
      <c r="P466" s="129"/>
      <c r="Q466" s="127">
        <f t="shared" si="76"/>
        <v>13681.5</v>
      </c>
    </row>
    <row r="467" spans="1:17" ht="13.5" customHeight="1">
      <c r="A467" s="70" t="s">
        <v>159</v>
      </c>
      <c r="B467" s="165"/>
      <c r="C467" s="184"/>
      <c r="D467" s="182">
        <f>867.5</f>
        <v>867.5</v>
      </c>
      <c r="E467" s="182"/>
      <c r="F467" s="183">
        <f t="shared" si="74"/>
        <v>867.5</v>
      </c>
      <c r="G467" s="228"/>
      <c r="H467" s="7"/>
      <c r="I467" s="51">
        <f>F467+G467+H467</f>
        <v>867.5</v>
      </c>
      <c r="J467" s="50"/>
      <c r="K467" s="7"/>
      <c r="L467" s="51">
        <f>I467+J467+K467</f>
        <v>867.5</v>
      </c>
      <c r="M467" s="50"/>
      <c r="N467" s="7"/>
      <c r="O467" s="51">
        <f>L467+M467+N467</f>
        <v>867.5</v>
      </c>
      <c r="P467" s="129"/>
      <c r="Q467" s="127">
        <f t="shared" si="76"/>
        <v>867.5</v>
      </c>
    </row>
    <row r="468" spans="1:17" ht="12.75" hidden="1">
      <c r="A468" s="69" t="s">
        <v>140</v>
      </c>
      <c r="B468" s="165"/>
      <c r="C468" s="184"/>
      <c r="D468" s="182"/>
      <c r="E468" s="182"/>
      <c r="F468" s="183">
        <f t="shared" si="74"/>
        <v>0</v>
      </c>
      <c r="G468" s="228"/>
      <c r="H468" s="7"/>
      <c r="I468" s="51">
        <f>F468+G468+H468</f>
        <v>0</v>
      </c>
      <c r="J468" s="50"/>
      <c r="K468" s="7"/>
      <c r="L468" s="51">
        <f>I468+J468+K468</f>
        <v>0</v>
      </c>
      <c r="M468" s="50"/>
      <c r="N468" s="7"/>
      <c r="O468" s="51">
        <f>L468+M468+N468</f>
        <v>0</v>
      </c>
      <c r="P468" s="129"/>
      <c r="Q468" s="127">
        <f t="shared" si="76"/>
        <v>0</v>
      </c>
    </row>
    <row r="469" spans="1:17" ht="12.75">
      <c r="A469" s="69" t="s">
        <v>141</v>
      </c>
      <c r="B469" s="165">
        <v>15</v>
      </c>
      <c r="C469" s="184">
        <f>SUM(C470:C476)</f>
        <v>210450</v>
      </c>
      <c r="D469" s="182">
        <f>SUM(D470:D476)</f>
        <v>99932.30000000002</v>
      </c>
      <c r="E469" s="182">
        <f>SUM(E470:E476)</f>
        <v>0</v>
      </c>
      <c r="F469" s="183">
        <f>SUM(F470:F476)</f>
        <v>310382.30000000005</v>
      </c>
      <c r="G469" s="228"/>
      <c r="H469" s="7"/>
      <c r="I469" s="51">
        <f>SUM(I470:I476)</f>
        <v>310382.30000000005</v>
      </c>
      <c r="J469" s="50"/>
      <c r="K469" s="7"/>
      <c r="L469" s="51">
        <f>SUM(L470:L476)</f>
        <v>310382.30000000005</v>
      </c>
      <c r="M469" s="50"/>
      <c r="N469" s="7"/>
      <c r="O469" s="51">
        <f>SUM(O470:O476)</f>
        <v>310382.30000000005</v>
      </c>
      <c r="P469" s="131"/>
      <c r="Q469" s="116">
        <f>SUM(Q470:Q476)</f>
        <v>310382.30000000005</v>
      </c>
    </row>
    <row r="470" spans="1:17" ht="12.75">
      <c r="A470" s="69" t="s">
        <v>142</v>
      </c>
      <c r="B470" s="165"/>
      <c r="C470" s="184">
        <v>203900</v>
      </c>
      <c r="D470" s="182">
        <f>116359.11-100000</f>
        <v>16359.11</v>
      </c>
      <c r="E470" s="182"/>
      <c r="F470" s="183">
        <f t="shared" si="74"/>
        <v>220259.11</v>
      </c>
      <c r="G470" s="228"/>
      <c r="H470" s="7"/>
      <c r="I470" s="51">
        <f aca="true" t="shared" si="77" ref="I470:I476">F470+G470+H470</f>
        <v>220259.11</v>
      </c>
      <c r="J470" s="50"/>
      <c r="K470" s="7"/>
      <c r="L470" s="51">
        <f aca="true" t="shared" si="78" ref="L470:L476">I470+J470+K470</f>
        <v>220259.11</v>
      </c>
      <c r="M470" s="50"/>
      <c r="N470" s="7"/>
      <c r="O470" s="51">
        <f aca="true" t="shared" si="79" ref="O470:O476">L470+M470+N470</f>
        <v>220259.11</v>
      </c>
      <c r="P470" s="129"/>
      <c r="Q470" s="127">
        <f t="shared" si="76"/>
        <v>220259.11</v>
      </c>
    </row>
    <row r="471" spans="1:17" ht="12.75" hidden="1">
      <c r="A471" s="69" t="s">
        <v>143</v>
      </c>
      <c r="B471" s="165"/>
      <c r="C471" s="184">
        <v>0</v>
      </c>
      <c r="D471" s="182"/>
      <c r="E471" s="182"/>
      <c r="F471" s="183">
        <f t="shared" si="74"/>
        <v>0</v>
      </c>
      <c r="G471" s="228"/>
      <c r="H471" s="7"/>
      <c r="I471" s="51">
        <f t="shared" si="77"/>
        <v>0</v>
      </c>
      <c r="J471" s="50"/>
      <c r="K471" s="7"/>
      <c r="L471" s="51">
        <f t="shared" si="78"/>
        <v>0</v>
      </c>
      <c r="M471" s="50"/>
      <c r="N471" s="7"/>
      <c r="O471" s="51">
        <f t="shared" si="79"/>
        <v>0</v>
      </c>
      <c r="P471" s="129"/>
      <c r="Q471" s="127">
        <f t="shared" si="76"/>
        <v>0</v>
      </c>
    </row>
    <row r="472" spans="1:17" ht="12.75" hidden="1">
      <c r="A472" s="69" t="s">
        <v>144</v>
      </c>
      <c r="B472" s="165"/>
      <c r="C472" s="184"/>
      <c r="D472" s="199"/>
      <c r="E472" s="199"/>
      <c r="F472" s="183">
        <f t="shared" si="74"/>
        <v>0</v>
      </c>
      <c r="G472" s="228"/>
      <c r="H472" s="7"/>
      <c r="I472" s="51">
        <f t="shared" si="77"/>
        <v>0</v>
      </c>
      <c r="J472" s="50"/>
      <c r="K472" s="7"/>
      <c r="L472" s="51">
        <f t="shared" si="78"/>
        <v>0</v>
      </c>
      <c r="M472" s="50"/>
      <c r="N472" s="7"/>
      <c r="O472" s="51">
        <f t="shared" si="79"/>
        <v>0</v>
      </c>
      <c r="P472" s="129"/>
      <c r="Q472" s="127">
        <f t="shared" si="76"/>
        <v>0</v>
      </c>
    </row>
    <row r="473" spans="1:17" ht="12.75">
      <c r="A473" s="69" t="s">
        <v>145</v>
      </c>
      <c r="B473" s="165"/>
      <c r="C473" s="184"/>
      <c r="D473" s="182">
        <f>30121.33</f>
        <v>30121.33</v>
      </c>
      <c r="E473" s="182"/>
      <c r="F473" s="183">
        <f t="shared" si="74"/>
        <v>30121.33</v>
      </c>
      <c r="G473" s="228"/>
      <c r="H473" s="7"/>
      <c r="I473" s="51">
        <f t="shared" si="77"/>
        <v>30121.33</v>
      </c>
      <c r="J473" s="50"/>
      <c r="K473" s="7"/>
      <c r="L473" s="51">
        <f t="shared" si="78"/>
        <v>30121.33</v>
      </c>
      <c r="M473" s="50"/>
      <c r="N473" s="7"/>
      <c r="O473" s="51">
        <f t="shared" si="79"/>
        <v>30121.33</v>
      </c>
      <c r="P473" s="129"/>
      <c r="Q473" s="127">
        <f t="shared" si="76"/>
        <v>30121.33</v>
      </c>
    </row>
    <row r="474" spans="1:17" ht="12.75">
      <c r="A474" s="69" t="s">
        <v>146</v>
      </c>
      <c r="B474" s="165"/>
      <c r="C474" s="184"/>
      <c r="D474" s="182">
        <f>5444.91</f>
        <v>5444.91</v>
      </c>
      <c r="E474" s="182"/>
      <c r="F474" s="183">
        <f t="shared" si="74"/>
        <v>5444.91</v>
      </c>
      <c r="G474" s="228"/>
      <c r="H474" s="7"/>
      <c r="I474" s="51">
        <f t="shared" si="77"/>
        <v>5444.91</v>
      </c>
      <c r="J474" s="65"/>
      <c r="K474" s="7"/>
      <c r="L474" s="51">
        <f t="shared" si="78"/>
        <v>5444.91</v>
      </c>
      <c r="M474" s="50"/>
      <c r="N474" s="7"/>
      <c r="O474" s="51">
        <f t="shared" si="79"/>
        <v>5444.91</v>
      </c>
      <c r="P474" s="129"/>
      <c r="Q474" s="127">
        <f t="shared" si="76"/>
        <v>5444.91</v>
      </c>
    </row>
    <row r="475" spans="1:17" ht="12.75">
      <c r="A475" s="69" t="s">
        <v>147</v>
      </c>
      <c r="B475" s="165"/>
      <c r="C475" s="184">
        <v>6550</v>
      </c>
      <c r="D475" s="182">
        <f>6984.3</f>
        <v>6984.3</v>
      </c>
      <c r="E475" s="182"/>
      <c r="F475" s="183">
        <f t="shared" si="74"/>
        <v>13534.3</v>
      </c>
      <c r="G475" s="228"/>
      <c r="H475" s="7"/>
      <c r="I475" s="51">
        <f t="shared" si="77"/>
        <v>13534.3</v>
      </c>
      <c r="J475" s="50"/>
      <c r="K475" s="7"/>
      <c r="L475" s="51">
        <f t="shared" si="78"/>
        <v>13534.3</v>
      </c>
      <c r="M475" s="50"/>
      <c r="N475" s="7"/>
      <c r="O475" s="51">
        <f t="shared" si="79"/>
        <v>13534.3</v>
      </c>
      <c r="P475" s="129"/>
      <c r="Q475" s="127">
        <f t="shared" si="76"/>
        <v>13534.3</v>
      </c>
    </row>
    <row r="476" spans="1:17" ht="12.75">
      <c r="A476" s="69" t="s">
        <v>140</v>
      </c>
      <c r="B476" s="165"/>
      <c r="C476" s="184"/>
      <c r="D476" s="182">
        <f>979.15+43.5+40000</f>
        <v>41022.65</v>
      </c>
      <c r="E476" s="182"/>
      <c r="F476" s="183">
        <f t="shared" si="74"/>
        <v>41022.65</v>
      </c>
      <c r="G476" s="228"/>
      <c r="H476" s="7"/>
      <c r="I476" s="51">
        <f t="shared" si="77"/>
        <v>41022.65</v>
      </c>
      <c r="J476" s="50"/>
      <c r="K476" s="7"/>
      <c r="L476" s="51">
        <f t="shared" si="78"/>
        <v>41022.65</v>
      </c>
      <c r="M476" s="50"/>
      <c r="N476" s="7"/>
      <c r="O476" s="51">
        <f t="shared" si="79"/>
        <v>41022.65</v>
      </c>
      <c r="P476" s="129"/>
      <c r="Q476" s="127">
        <f t="shared" si="76"/>
        <v>41022.65</v>
      </c>
    </row>
    <row r="477" spans="1:17" ht="12.75">
      <c r="A477" s="69" t="s">
        <v>148</v>
      </c>
      <c r="B477" s="165">
        <v>16</v>
      </c>
      <c r="C477" s="184">
        <f>SUM(C478:C481)</f>
        <v>3000</v>
      </c>
      <c r="D477" s="182">
        <f>SUM(D478:D481)</f>
        <v>5473.72</v>
      </c>
      <c r="E477" s="182">
        <f>SUM(E478:E481)</f>
        <v>0</v>
      </c>
      <c r="F477" s="183">
        <f>SUM(F478:F481)</f>
        <v>8473.72</v>
      </c>
      <c r="G477" s="228"/>
      <c r="H477" s="7"/>
      <c r="I477" s="51">
        <f>SUM(I478:I481)</f>
        <v>8473.72</v>
      </c>
      <c r="J477" s="50"/>
      <c r="K477" s="7"/>
      <c r="L477" s="51">
        <f>SUM(L478:L481)</f>
        <v>8473.72</v>
      </c>
      <c r="M477" s="50"/>
      <c r="N477" s="7"/>
      <c r="O477" s="51">
        <f>SUM(O478:O481)</f>
        <v>8473.72</v>
      </c>
      <c r="P477" s="131"/>
      <c r="Q477" s="116">
        <f>SUM(Q478:Q481)</f>
        <v>8473.72</v>
      </c>
    </row>
    <row r="478" spans="1:17" ht="12.75">
      <c r="A478" s="69" t="s">
        <v>137</v>
      </c>
      <c r="B478" s="165"/>
      <c r="C478" s="184">
        <v>1558</v>
      </c>
      <c r="D478" s="182">
        <f>1120+100</f>
        <v>1220</v>
      </c>
      <c r="E478" s="182"/>
      <c r="F478" s="183">
        <f t="shared" si="74"/>
        <v>2778</v>
      </c>
      <c r="G478" s="228"/>
      <c r="H478" s="7"/>
      <c r="I478" s="51">
        <f>F478+G478+H478</f>
        <v>2778</v>
      </c>
      <c r="J478" s="50"/>
      <c r="K478" s="7"/>
      <c r="L478" s="51">
        <f>I478+J478+K478</f>
        <v>2778</v>
      </c>
      <c r="M478" s="50"/>
      <c r="N478" s="7"/>
      <c r="O478" s="51">
        <f>L478+M478+N478</f>
        <v>2778</v>
      </c>
      <c r="P478" s="129"/>
      <c r="Q478" s="127">
        <f t="shared" si="76"/>
        <v>2778</v>
      </c>
    </row>
    <row r="479" spans="1:17" ht="12.75">
      <c r="A479" s="69" t="s">
        <v>138</v>
      </c>
      <c r="B479" s="165"/>
      <c r="C479" s="184">
        <v>750</v>
      </c>
      <c r="D479" s="182">
        <f>180-100</f>
        <v>80</v>
      </c>
      <c r="E479" s="182"/>
      <c r="F479" s="183">
        <f t="shared" si="74"/>
        <v>830</v>
      </c>
      <c r="G479" s="228"/>
      <c r="H479" s="7"/>
      <c r="I479" s="51">
        <f>F479+G479+H479</f>
        <v>830</v>
      </c>
      <c r="J479" s="50"/>
      <c r="K479" s="7"/>
      <c r="L479" s="51">
        <f>I479+J479+K479</f>
        <v>830</v>
      </c>
      <c r="M479" s="50"/>
      <c r="N479" s="7"/>
      <c r="O479" s="51">
        <f>L479+M479+N479</f>
        <v>830</v>
      </c>
      <c r="P479" s="129"/>
      <c r="Q479" s="127">
        <f t="shared" si="76"/>
        <v>830</v>
      </c>
    </row>
    <row r="480" spans="1:17" ht="12.75">
      <c r="A480" s="69" t="s">
        <v>139</v>
      </c>
      <c r="B480" s="165"/>
      <c r="C480" s="184">
        <v>692</v>
      </c>
      <c r="D480" s="182">
        <f>3680.16</f>
        <v>3680.16</v>
      </c>
      <c r="E480" s="182"/>
      <c r="F480" s="183">
        <f t="shared" si="74"/>
        <v>4372.16</v>
      </c>
      <c r="G480" s="228"/>
      <c r="H480" s="7"/>
      <c r="I480" s="51">
        <f>F480+G480+H480</f>
        <v>4372.16</v>
      </c>
      <c r="J480" s="50"/>
      <c r="K480" s="7"/>
      <c r="L480" s="51">
        <f>I480+J480+K480</f>
        <v>4372.16</v>
      </c>
      <c r="M480" s="50"/>
      <c r="N480" s="7"/>
      <c r="O480" s="51">
        <f>L480+M480+N480</f>
        <v>4372.16</v>
      </c>
      <c r="P480" s="129"/>
      <c r="Q480" s="127">
        <f t="shared" si="76"/>
        <v>4372.16</v>
      </c>
    </row>
    <row r="481" spans="1:17" ht="12.75">
      <c r="A481" s="69" t="s">
        <v>140</v>
      </c>
      <c r="B481" s="165"/>
      <c r="C481" s="184">
        <v>0</v>
      </c>
      <c r="D481" s="182">
        <f>493.56</f>
        <v>493.56</v>
      </c>
      <c r="E481" s="182"/>
      <c r="F481" s="183">
        <f t="shared" si="74"/>
        <v>493.56</v>
      </c>
      <c r="G481" s="228"/>
      <c r="H481" s="7"/>
      <c r="I481" s="51">
        <f>F481+G481+H481</f>
        <v>493.56</v>
      </c>
      <c r="J481" s="50"/>
      <c r="K481" s="7"/>
      <c r="L481" s="51">
        <f>I481+J481+K481</f>
        <v>493.56</v>
      </c>
      <c r="M481" s="50"/>
      <c r="N481" s="7"/>
      <c r="O481" s="51">
        <f>L481+M481+N481</f>
        <v>493.56</v>
      </c>
      <c r="P481" s="129"/>
      <c r="Q481" s="127">
        <f t="shared" si="76"/>
        <v>493.56</v>
      </c>
    </row>
    <row r="482" spans="1:17" ht="12.75">
      <c r="A482" s="69" t="s">
        <v>149</v>
      </c>
      <c r="B482" s="165">
        <v>28</v>
      </c>
      <c r="C482" s="184">
        <f>SUM(C483:C487)</f>
        <v>10000</v>
      </c>
      <c r="D482" s="182">
        <f>SUM(D483:D487)</f>
        <v>48099.49</v>
      </c>
      <c r="E482" s="182">
        <f>SUM(E483:E487)</f>
        <v>0</v>
      </c>
      <c r="F482" s="183">
        <f>SUM(F483:F487)</f>
        <v>58099.49</v>
      </c>
      <c r="G482" s="228"/>
      <c r="H482" s="7"/>
      <c r="I482" s="51">
        <f>SUM(I483:I487)</f>
        <v>58099.49</v>
      </c>
      <c r="J482" s="50"/>
      <c r="K482" s="7"/>
      <c r="L482" s="51">
        <f>SUM(L483:L487)</f>
        <v>58099.49</v>
      </c>
      <c r="M482" s="50"/>
      <c r="N482" s="7"/>
      <c r="O482" s="51">
        <f>SUM(O483:O487)</f>
        <v>58038.89</v>
      </c>
      <c r="P482" s="131"/>
      <c r="Q482" s="116">
        <f>SUM(Q483:Q487)</f>
        <v>58038.89</v>
      </c>
    </row>
    <row r="483" spans="1:17" ht="12.75">
      <c r="A483" s="69" t="s">
        <v>137</v>
      </c>
      <c r="B483" s="165"/>
      <c r="C483" s="184">
        <v>1550</v>
      </c>
      <c r="D483" s="182">
        <f>5695+4200</f>
        <v>9895</v>
      </c>
      <c r="E483" s="182"/>
      <c r="F483" s="183">
        <f t="shared" si="74"/>
        <v>11445</v>
      </c>
      <c r="G483" s="228"/>
      <c r="H483" s="7"/>
      <c r="I483" s="51">
        <f>F483+G483+H483</f>
        <v>11445</v>
      </c>
      <c r="J483" s="50"/>
      <c r="K483" s="7"/>
      <c r="L483" s="51">
        <f>I483+J483+K483</f>
        <v>11445</v>
      </c>
      <c r="M483" s="50"/>
      <c r="N483" s="7"/>
      <c r="O483" s="51">
        <f>L483+M483+N483</f>
        <v>11445</v>
      </c>
      <c r="P483" s="129"/>
      <c r="Q483" s="127">
        <f t="shared" si="76"/>
        <v>11445</v>
      </c>
    </row>
    <row r="484" spans="1:17" ht="12.75">
      <c r="A484" s="69" t="s">
        <v>138</v>
      </c>
      <c r="B484" s="165"/>
      <c r="C484" s="184"/>
      <c r="D484" s="182">
        <f>200</f>
        <v>200</v>
      </c>
      <c r="E484" s="182"/>
      <c r="F484" s="183">
        <f t="shared" si="74"/>
        <v>200</v>
      </c>
      <c r="G484" s="228"/>
      <c r="H484" s="7"/>
      <c r="I484" s="51">
        <f>F484+G484+H484</f>
        <v>200</v>
      </c>
      <c r="J484" s="50"/>
      <c r="K484" s="7"/>
      <c r="L484" s="51">
        <f>I484+J484+K484</f>
        <v>200</v>
      </c>
      <c r="M484" s="50"/>
      <c r="N484" s="7"/>
      <c r="O484" s="51">
        <f>L484+M484+N484</f>
        <v>200</v>
      </c>
      <c r="P484" s="129"/>
      <c r="Q484" s="127">
        <f t="shared" si="76"/>
        <v>200</v>
      </c>
    </row>
    <row r="485" spans="1:17" ht="12.75">
      <c r="A485" s="69" t="s">
        <v>150</v>
      </c>
      <c r="B485" s="165"/>
      <c r="C485" s="184">
        <v>8200</v>
      </c>
      <c r="D485" s="182">
        <f>33224.67+510+4000+515.32</f>
        <v>38249.99</v>
      </c>
      <c r="E485" s="182"/>
      <c r="F485" s="183">
        <f t="shared" si="74"/>
        <v>46449.99</v>
      </c>
      <c r="G485" s="228"/>
      <c r="H485" s="7"/>
      <c r="I485" s="51">
        <f>F485+G485+H485</f>
        <v>46449.99</v>
      </c>
      <c r="J485" s="50"/>
      <c r="K485" s="7"/>
      <c r="L485" s="51">
        <f>I485+J485+K485</f>
        <v>46449.99</v>
      </c>
      <c r="M485" s="50"/>
      <c r="N485" s="7"/>
      <c r="O485" s="51">
        <f>L485+M485+N485</f>
        <v>46449.99</v>
      </c>
      <c r="P485" s="129"/>
      <c r="Q485" s="127">
        <f t="shared" si="76"/>
        <v>46449.99</v>
      </c>
    </row>
    <row r="486" spans="1:17" ht="12.75" hidden="1">
      <c r="A486" s="69" t="s">
        <v>147</v>
      </c>
      <c r="B486" s="165"/>
      <c r="C486" s="184"/>
      <c r="D486" s="182"/>
      <c r="E486" s="182"/>
      <c r="F486" s="183">
        <f t="shared" si="74"/>
        <v>0</v>
      </c>
      <c r="G486" s="228"/>
      <c r="H486" s="7"/>
      <c r="I486" s="51">
        <f>F486+G486+H486</f>
        <v>0</v>
      </c>
      <c r="J486" s="50"/>
      <c r="K486" s="7"/>
      <c r="L486" s="51">
        <f>I486+J486+K486</f>
        <v>0</v>
      </c>
      <c r="M486" s="50"/>
      <c r="N486" s="7"/>
      <c r="O486" s="51">
        <f>L486+M486+N486</f>
        <v>0</v>
      </c>
      <c r="P486" s="129"/>
      <c r="Q486" s="127">
        <f t="shared" si="76"/>
        <v>0</v>
      </c>
    </row>
    <row r="487" spans="1:17" ht="12.75">
      <c r="A487" s="69" t="s">
        <v>140</v>
      </c>
      <c r="B487" s="165"/>
      <c r="C487" s="184">
        <v>250</v>
      </c>
      <c r="D487" s="199">
        <f>1464.5-510-1200</f>
        <v>-245.5</v>
      </c>
      <c r="E487" s="182"/>
      <c r="F487" s="183">
        <f t="shared" si="74"/>
        <v>4.5</v>
      </c>
      <c r="G487" s="228"/>
      <c r="H487" s="7"/>
      <c r="I487" s="51">
        <f>F487+G487+H487</f>
        <v>4.5</v>
      </c>
      <c r="J487" s="50"/>
      <c r="K487" s="7"/>
      <c r="L487" s="51">
        <f>I487+J487+K487</f>
        <v>4.5</v>
      </c>
      <c r="M487" s="50"/>
      <c r="N487" s="7">
        <v>-60.6</v>
      </c>
      <c r="O487" s="51">
        <f>L487+M487+N487</f>
        <v>-56.1</v>
      </c>
      <c r="P487" s="129"/>
      <c r="Q487" s="127">
        <f t="shared" si="76"/>
        <v>-56.1</v>
      </c>
    </row>
    <row r="488" spans="1:17" ht="12.75">
      <c r="A488" s="70" t="s">
        <v>151</v>
      </c>
      <c r="B488" s="165"/>
      <c r="C488" s="254">
        <f>C489+C490</f>
        <v>15000</v>
      </c>
      <c r="D488" s="182">
        <f>D489+D490</f>
        <v>10</v>
      </c>
      <c r="E488" s="255">
        <f>E489+E490</f>
        <v>0</v>
      </c>
      <c r="F488" s="183">
        <f>F489+F490</f>
        <v>15010</v>
      </c>
      <c r="G488" s="228"/>
      <c r="H488" s="7"/>
      <c r="I488" s="51"/>
      <c r="J488" s="50"/>
      <c r="K488" s="7"/>
      <c r="L488" s="51"/>
      <c r="M488" s="50"/>
      <c r="N488" s="7"/>
      <c r="O488" s="51"/>
      <c r="P488" s="129"/>
      <c r="Q488" s="127"/>
    </row>
    <row r="489" spans="1:17" ht="12.75">
      <c r="A489" s="70" t="s">
        <v>326</v>
      </c>
      <c r="B489" s="165"/>
      <c r="C489" s="184">
        <v>15000</v>
      </c>
      <c r="D489" s="182"/>
      <c r="E489" s="182"/>
      <c r="F489" s="183">
        <f t="shared" si="74"/>
        <v>15000</v>
      </c>
      <c r="G489" s="228"/>
      <c r="H489" s="7"/>
      <c r="I489" s="51"/>
      <c r="J489" s="50"/>
      <c r="K489" s="7"/>
      <c r="L489" s="51"/>
      <c r="M489" s="50"/>
      <c r="N489" s="7"/>
      <c r="O489" s="51"/>
      <c r="P489" s="129"/>
      <c r="Q489" s="127"/>
    </row>
    <row r="490" spans="1:17" ht="12.75">
      <c r="A490" s="73" t="s">
        <v>327</v>
      </c>
      <c r="B490" s="168"/>
      <c r="C490" s="194"/>
      <c r="D490" s="195">
        <v>10</v>
      </c>
      <c r="E490" s="195"/>
      <c r="F490" s="246">
        <f t="shared" si="74"/>
        <v>10</v>
      </c>
      <c r="G490" s="228"/>
      <c r="H490" s="7"/>
      <c r="I490" s="51"/>
      <c r="J490" s="50"/>
      <c r="K490" s="7"/>
      <c r="L490" s="51"/>
      <c r="M490" s="50"/>
      <c r="N490" s="7"/>
      <c r="O490" s="51"/>
      <c r="P490" s="129"/>
      <c r="Q490" s="127"/>
    </row>
    <row r="491" spans="1:17" ht="13.5" thickBot="1">
      <c r="A491" s="84" t="s">
        <v>152</v>
      </c>
      <c r="B491" s="169"/>
      <c r="C491" s="185">
        <v>5900.9</v>
      </c>
      <c r="D491" s="186">
        <f>94.04+141.22</f>
        <v>235.26</v>
      </c>
      <c r="E491" s="186"/>
      <c r="F491" s="187">
        <f t="shared" si="74"/>
        <v>6136.16</v>
      </c>
      <c r="G491" s="17"/>
      <c r="H491" s="8"/>
      <c r="I491" s="53">
        <f>SUM(F491:H491)</f>
        <v>6136.16</v>
      </c>
      <c r="J491" s="52"/>
      <c r="K491" s="8"/>
      <c r="L491" s="121">
        <f>SUM(I491:K491)</f>
        <v>6136.16</v>
      </c>
      <c r="M491" s="52"/>
      <c r="N491" s="8"/>
      <c r="O491" s="53">
        <f>SUM(L491:N491)</f>
        <v>6136.16</v>
      </c>
      <c r="P491" s="132"/>
      <c r="Q491" s="63">
        <f>O491+P491</f>
        <v>6136.16</v>
      </c>
    </row>
    <row r="492" spans="1:17" ht="15.75" thickBot="1">
      <c r="A492" s="85" t="s">
        <v>153</v>
      </c>
      <c r="B492" s="172"/>
      <c r="C492" s="236">
        <f>C101+C120+C143+C162+C171+C189+C201+C223+C267+C287+C355+C381+C402+C409+C437+C441+C491+C416+C303</f>
        <v>3640237.9</v>
      </c>
      <c r="D492" s="214">
        <f>D101+D120+D143+D162+D171+D189+D201+D223+D267+D287+D355+D381+D402+D409+D437+D441+D491+D416+D303</f>
        <v>7890707.289999998</v>
      </c>
      <c r="E492" s="214">
        <f>E101+E120+E143+E162+E171+E189+E201+E223+E267+E287+E355+E381+E402+E409+E437+E441+E491+E416+E303</f>
        <v>0</v>
      </c>
      <c r="F492" s="211">
        <f>F101+F120+F143+F162+F171+F189+F201+F223+F267+F287+F355+F381+F402+F409+F437+F441+F491+F416+F303</f>
        <v>11530945.190000001</v>
      </c>
      <c r="G492" s="149" t="e">
        <f>G101+G120+G143+G162+G171+#REF!+G189+G201+G223+G267+G287+G355+G381+G402+G409+G437+G441+G491</f>
        <v>#REF!</v>
      </c>
      <c r="H492" s="18" t="e">
        <f>H101+H120+H143+H162+H171+#REF!+H189+H201+H223+H267+H287+H355+H381+H402+H409+H437+H441+H491</f>
        <v>#REF!</v>
      </c>
      <c r="I492" s="19" t="e">
        <f>I101+I120+I143+I162+I171+#REF!+I189+I201+I223+I267+I287+I355+I381+I402+I409+I437+I441+I491</f>
        <v>#REF!</v>
      </c>
      <c r="J492" s="40" t="e">
        <f>J101+J120+J143+J162+J171+#REF!+J189+J201+J223+J267+J287+J355+J381+J402+J409+J437+J441+J491</f>
        <v>#REF!</v>
      </c>
      <c r="K492" s="18" t="e">
        <f>K101+K120+K143+K162+K171+#REF!+K189+K201+K223+K267+K287+K355+K381+K402+K409+K437+K441+K491</f>
        <v>#REF!</v>
      </c>
      <c r="L492" s="19" t="e">
        <f>L101+L120+L143+L162+L171+#REF!+L189+L201+L223+L267+L287+L355+L381+L402+L409+L437+L441+L491</f>
        <v>#REF!</v>
      </c>
      <c r="M492" s="40" t="e">
        <f>M101+M120+M143+M162+M171+#REF!+M189+M201+M223+M267+M287+M355+M381+M402+M409+M437+M441+M491</f>
        <v>#REF!</v>
      </c>
      <c r="N492" s="18" t="e">
        <f>N101+N120+N143+N162+N171+#REF!+N189+N201+N223+N267+N287+N355+N381+N402+N409+N437+N441+N491</f>
        <v>#REF!</v>
      </c>
      <c r="O492" s="19" t="e">
        <f>O101+O120+O143+O162+O171+#REF!+O189+O201+O223+O267+O287+O355+O381+O402+O409+O437+O441+O491</f>
        <v>#REF!</v>
      </c>
      <c r="P492" s="136" t="e">
        <f>P101+P120+P143+P162+P171+#REF!+P189+P201+P223+P267+P287+P355+P381+P402+P409+P437+P441+P491</f>
        <v>#REF!</v>
      </c>
      <c r="Q492" s="109" t="e">
        <f>Q101+Q120+Q143+Q162+Q171+#REF!+Q189+Q201+Q223+Q267+Q287+Q355+Q381+Q402+Q409+Q437+Q441+Q491</f>
        <v>#REF!</v>
      </c>
    </row>
    <row r="493" spans="1:17" ht="13.5" thickBot="1">
      <c r="A493" s="86" t="s">
        <v>154</v>
      </c>
      <c r="B493" s="172"/>
      <c r="C493" s="237">
        <v>-5900.9</v>
      </c>
      <c r="D493" s="215">
        <f>-94.04-141.22</f>
        <v>-235.26</v>
      </c>
      <c r="E493" s="215"/>
      <c r="F493" s="205">
        <f>SUM(C493:E493)</f>
        <v>-6136.16</v>
      </c>
      <c r="G493" s="150"/>
      <c r="H493" s="20"/>
      <c r="I493" s="21">
        <f>SUM(F493:H493)</f>
        <v>-6136.16</v>
      </c>
      <c r="J493" s="41"/>
      <c r="K493" s="20"/>
      <c r="L493" s="21">
        <f>SUM(I493:K493)</f>
        <v>-6136.16</v>
      </c>
      <c r="M493" s="41"/>
      <c r="N493" s="20"/>
      <c r="O493" s="21">
        <f>SUM(L493:N493)</f>
        <v>-6136.16</v>
      </c>
      <c r="P493" s="129"/>
      <c r="Q493" s="126">
        <f t="shared" si="76"/>
        <v>-6136.16</v>
      </c>
    </row>
    <row r="494" spans="1:17" ht="16.5" thickBot="1">
      <c r="A494" s="87" t="s">
        <v>155</v>
      </c>
      <c r="B494" s="172"/>
      <c r="C494" s="238">
        <f aca="true" t="shared" si="80" ref="C494:L494">C492+C493</f>
        <v>3634337</v>
      </c>
      <c r="D494" s="216">
        <f>D492+D493</f>
        <v>7890472.029999998</v>
      </c>
      <c r="E494" s="216">
        <f>E492+E493</f>
        <v>0</v>
      </c>
      <c r="F494" s="206">
        <f>F492+F493</f>
        <v>11524809.030000001</v>
      </c>
      <c r="G494" s="151" t="e">
        <f t="shared" si="80"/>
        <v>#REF!</v>
      </c>
      <c r="H494" s="22" t="e">
        <f t="shared" si="80"/>
        <v>#REF!</v>
      </c>
      <c r="I494" s="23" t="e">
        <f t="shared" si="80"/>
        <v>#REF!</v>
      </c>
      <c r="J494" s="42" t="e">
        <f t="shared" si="80"/>
        <v>#REF!</v>
      </c>
      <c r="K494" s="22" t="e">
        <f t="shared" si="80"/>
        <v>#REF!</v>
      </c>
      <c r="L494" s="23" t="e">
        <f t="shared" si="80"/>
        <v>#REF!</v>
      </c>
      <c r="M494" s="42" t="e">
        <f>M492+M493</f>
        <v>#REF!</v>
      </c>
      <c r="N494" s="22" t="e">
        <f>N492+N493</f>
        <v>#REF!</v>
      </c>
      <c r="O494" s="23" t="e">
        <f>O492+O493</f>
        <v>#REF!</v>
      </c>
      <c r="P494" s="137" t="e">
        <f>P492+P493</f>
        <v>#REF!</v>
      </c>
      <c r="Q494" s="110" t="e">
        <f>Q492+Q493</f>
        <v>#REF!</v>
      </c>
    </row>
    <row r="495" spans="1:17" ht="15.75">
      <c r="A495" s="88" t="s">
        <v>33</v>
      </c>
      <c r="B495" s="173"/>
      <c r="C495" s="239"/>
      <c r="D495" s="217"/>
      <c r="E495" s="217"/>
      <c r="F495" s="207"/>
      <c r="G495" s="146"/>
      <c r="H495" s="24"/>
      <c r="I495" s="25"/>
      <c r="J495" s="26"/>
      <c r="K495" s="24"/>
      <c r="L495" s="25"/>
      <c r="M495" s="26"/>
      <c r="N495" s="24"/>
      <c r="O495" s="25"/>
      <c r="P495" s="129"/>
      <c r="Q495" s="127"/>
    </row>
    <row r="496" spans="1:17" ht="15.75">
      <c r="A496" s="89" t="s">
        <v>305</v>
      </c>
      <c r="B496" s="174"/>
      <c r="C496" s="240">
        <f>C102+C121+C144+C163+C172+C190+C202+C224+C268+C288+C356+C382+C403+C410+C438+C443+C491+C493+C417+C304</f>
        <v>2914638</v>
      </c>
      <c r="D496" s="218">
        <f>D102+D121+D144+D163+D172+D190+D202+D224+D268+D288+D356+D382+D403+D410+D438+D443+D491+D493+D417+D304</f>
        <v>6261650.049999999</v>
      </c>
      <c r="E496" s="218">
        <f>E102+E121+E144+E163+E172+E190+E202+E224+E268+E288+E356+E382+E403+E410+E438+E443+E491+E493+E417+E304</f>
        <v>0</v>
      </c>
      <c r="F496" s="212">
        <f>F102+F121+F144+F163+F172+F190+F202+F224+F268+F288+F356+F382+F403+F410+F438+F443+F491+F493+F417+F304</f>
        <v>9176288.049999999</v>
      </c>
      <c r="G496" s="147" t="e">
        <f>G102+G121+G144+G163+G172+#REF!+G190+G202+G224+G268+G288+G356+G382+G403+G410+G438+G443+G491+G493</f>
        <v>#REF!</v>
      </c>
      <c r="H496" s="104" t="e">
        <f>H102+H121+H144+H163+H172+#REF!+H190+H202+H224+H268+H288+H356+H382+H403+H410+H438+H443+H491+H493</f>
        <v>#REF!</v>
      </c>
      <c r="I496" s="28" t="e">
        <f>I102+I121+I144+I163+I172+#REF!+I190+I202+I224+I268+I288+I356+I382+I403+I410+I438+I443+I491+I493</f>
        <v>#REF!</v>
      </c>
      <c r="J496" s="29" t="e">
        <f>J102+J121+J144+J163+J172+#REF!+J190+J202+J224+J268+J288+J356+J382+J403+J410+J438+J443+J491+J493</f>
        <v>#REF!</v>
      </c>
      <c r="K496" s="27" t="e">
        <f>K102+K121+K144+K163+K172+#REF!+K190+K202+K224+K268+K288+K356+K382+K403+K410+K438+K443+K491+K493</f>
        <v>#REF!</v>
      </c>
      <c r="L496" s="28" t="e">
        <f>L102+L121+L144+L163+L172+#REF!+L190+L202+L224+L268+L288+L356+L382+L403+L410+L438+L443+L491+L493</f>
        <v>#REF!</v>
      </c>
      <c r="M496" s="29"/>
      <c r="N496" s="27" t="e">
        <f>N102+N121+N144+N163+N172+#REF!+N190+N202+N224+N268+N288+N356+N382+N403+N410+N438+N443+N491+N493</f>
        <v>#REF!</v>
      </c>
      <c r="O496" s="28" t="e">
        <f>O102+O121+O144+O163+O172+#REF!+O190+O202+O224+O268+O288+O356+O382+O403+O410+O438+O443+O491+O493</f>
        <v>#REF!</v>
      </c>
      <c r="P496" s="138" t="e">
        <f>P102+P121+P144+P163+P172+#REF!+P190+P202+P224+P268+P288+P356+P382+P403+P410+P438+P443+P491+P493</f>
        <v>#REF!</v>
      </c>
      <c r="Q496" s="111" t="e">
        <f>Q102+Q121+Q144+Q163+Q172+#REF!+Q190+Q202+Q224+Q268+Q288+Q356+Q382+Q403+Q410+Q438+Q443+Q491+Q493</f>
        <v>#REF!</v>
      </c>
    </row>
    <row r="497" spans="1:17" ht="16.5" thickBot="1">
      <c r="A497" s="75" t="s">
        <v>306</v>
      </c>
      <c r="B497" s="175"/>
      <c r="C497" s="241">
        <f>C114+C139+C153+C168+C184+C195+C216+C260+C280+C297+C376+C393+C406+C444+C431+C328</f>
        <v>719699</v>
      </c>
      <c r="D497" s="219">
        <f>D114+D139+D153+D168+D184+D195+D216+D260+D280+D297+D376+D393+D406+D444+D431+D328</f>
        <v>1628821.98</v>
      </c>
      <c r="E497" s="219">
        <f>E114+E139+E153+E168+E184+E195+E216+E260+E280+E297+E376+E393+E406+E444+E431+E328</f>
        <v>0</v>
      </c>
      <c r="F497" s="213">
        <f>F114+F139+F153+F168+F184+F195+F216+F260+F280+F297+F376+F393+F406+F444+F431+F328</f>
        <v>2348520.9800000004</v>
      </c>
      <c r="G497" s="148" t="e">
        <f>G114+G139+G153+G168+G184+#REF!+G195+G216+G260+G280+G297+G376+G393+G406+G444</f>
        <v>#REF!</v>
      </c>
      <c r="H497" s="30" t="e">
        <f>H114+H139+H153+H168+H184+#REF!+H195+H216+H260+H280+H297+H376+H393+H406+H444</f>
        <v>#REF!</v>
      </c>
      <c r="I497" s="31" t="e">
        <f>I114+I139+I153+I168+I184+#REF!+I195+I216+I260+I280+I297+I376+I393+I406+I444</f>
        <v>#REF!</v>
      </c>
      <c r="J497" s="32" t="e">
        <f>J114+J139+J153+J168+J184+#REF!+J195+J216+J260+J280+J297+J376+J393+J406+J444</f>
        <v>#REF!</v>
      </c>
      <c r="K497" s="30" t="e">
        <f>K114+K139+K153+K168+K184+#REF!+K195+K216+K260+K280+K297+K376+K393+K406+K444</f>
        <v>#REF!</v>
      </c>
      <c r="L497" s="31" t="e">
        <f>L114+L139+L153+L168+L184+#REF!+L195+L216+L260+L280+L297+L376+L393+L406+L444</f>
        <v>#REF!</v>
      </c>
      <c r="M497" s="32" t="e">
        <f>M114+M139+M153+M168+M184+#REF!+M195+M216+M260+M280+M297+M376+M393+M406+M444</f>
        <v>#REF!</v>
      </c>
      <c r="N497" s="30" t="e">
        <f>N114+N139+N153+N168+N184+#REF!+N195+N216+N260+N280+N297+N376+N393+N406+N444</f>
        <v>#REF!</v>
      </c>
      <c r="O497" s="31" t="e">
        <f>O114+O139+O153+O168+O184+#REF!+O195+O216+O260+O280+O297+O376+O393+O406+O444</f>
        <v>#REF!</v>
      </c>
      <c r="P497" s="139" t="e">
        <f>P114+P139+P153+P168+P184+#REF!+P195+P216+P260+P280+P297+P376+P393+P406+P444</f>
        <v>#REF!</v>
      </c>
      <c r="Q497" s="112" t="e">
        <f>Q114+Q139+Q153+Q168+Q184+#REF!+Q195+Q216+Q260+Q280+Q297+Q376+Q393+Q406+Q444</f>
        <v>#REF!</v>
      </c>
    </row>
    <row r="498" spans="1:17" ht="16.5" thickBot="1">
      <c r="A498" s="89" t="s">
        <v>296</v>
      </c>
      <c r="B498" s="174"/>
      <c r="C498" s="258">
        <f>C99-C494</f>
        <v>262500</v>
      </c>
      <c r="D498" s="214">
        <f>D99-D494</f>
        <v>-1946909.8299999982</v>
      </c>
      <c r="E498" s="259">
        <f>E99-E494</f>
        <v>0</v>
      </c>
      <c r="F498" s="211">
        <f>F99-F494</f>
        <v>-1684409.830000002</v>
      </c>
      <c r="G498" s="147"/>
      <c r="H498" s="27"/>
      <c r="I498" s="28"/>
      <c r="J498" s="29"/>
      <c r="K498" s="27"/>
      <c r="L498" s="28"/>
      <c r="M498" s="29"/>
      <c r="N498" s="27"/>
      <c r="O498" s="28"/>
      <c r="P498" s="138"/>
      <c r="Q498" s="111"/>
    </row>
    <row r="499" spans="1:17" ht="15.75">
      <c r="A499" s="88" t="s">
        <v>307</v>
      </c>
      <c r="B499" s="173"/>
      <c r="C499" s="242">
        <f aca="true" t="shared" si="81" ref="C499:Q499">SUM(C501:C504)</f>
        <v>-262500</v>
      </c>
      <c r="D499" s="220">
        <f t="shared" si="81"/>
        <v>1946909.8300000003</v>
      </c>
      <c r="E499" s="220">
        <f t="shared" si="81"/>
        <v>0</v>
      </c>
      <c r="F499" s="208">
        <f t="shared" si="81"/>
        <v>1684409.8300000003</v>
      </c>
      <c r="G499" s="152">
        <f t="shared" si="81"/>
        <v>0</v>
      </c>
      <c r="H499" s="33">
        <f t="shared" si="81"/>
        <v>0</v>
      </c>
      <c r="I499" s="34">
        <f t="shared" si="81"/>
        <v>1684409.8300000003</v>
      </c>
      <c r="J499" s="35">
        <f t="shared" si="81"/>
        <v>0</v>
      </c>
      <c r="K499" s="33">
        <f t="shared" si="81"/>
        <v>0</v>
      </c>
      <c r="L499" s="34">
        <f t="shared" si="81"/>
        <v>1684409.8300000003</v>
      </c>
      <c r="M499" s="35">
        <f t="shared" si="81"/>
        <v>0</v>
      </c>
      <c r="N499" s="33">
        <f t="shared" si="81"/>
        <v>0</v>
      </c>
      <c r="O499" s="34">
        <f t="shared" si="81"/>
        <v>1684409.8300000003</v>
      </c>
      <c r="P499" s="140">
        <f t="shared" si="81"/>
        <v>0</v>
      </c>
      <c r="Q499" s="36">
        <f t="shared" si="81"/>
        <v>1684409.8300000003</v>
      </c>
    </row>
    <row r="500" spans="1:17" ht="12.75" customHeight="1">
      <c r="A500" s="90" t="s">
        <v>33</v>
      </c>
      <c r="B500" s="176"/>
      <c r="C500" s="243"/>
      <c r="D500" s="221"/>
      <c r="E500" s="221"/>
      <c r="F500" s="209"/>
      <c r="G500" s="153"/>
      <c r="H500" s="37"/>
      <c r="I500" s="98"/>
      <c r="J500" s="43"/>
      <c r="K500" s="37"/>
      <c r="L500" s="98"/>
      <c r="M500" s="43"/>
      <c r="N500" s="37"/>
      <c r="O500" s="98"/>
      <c r="P500" s="129"/>
      <c r="Q500" s="127"/>
    </row>
    <row r="501" spans="1:17" ht="14.25" hidden="1">
      <c r="A501" s="90" t="s">
        <v>156</v>
      </c>
      <c r="B501" s="176"/>
      <c r="C501" s="266"/>
      <c r="D501" s="267"/>
      <c r="E501" s="267"/>
      <c r="F501" s="268">
        <f>SUM(C501:E501)</f>
        <v>0</v>
      </c>
      <c r="G501" s="154"/>
      <c r="H501" s="38"/>
      <c r="I501" s="98">
        <f>SUM(F501:H501)</f>
        <v>0</v>
      </c>
      <c r="J501" s="44"/>
      <c r="K501" s="38"/>
      <c r="L501" s="98">
        <f>SUM(I501:K501)</f>
        <v>0</v>
      </c>
      <c r="M501" s="44"/>
      <c r="N501" s="38"/>
      <c r="O501" s="98">
        <f>SUM(L501:N501)</f>
        <v>0</v>
      </c>
      <c r="P501" s="129"/>
      <c r="Q501" s="127">
        <f t="shared" si="76"/>
        <v>0</v>
      </c>
    </row>
    <row r="502" spans="1:17" ht="14.25">
      <c r="A502" s="91" t="s">
        <v>164</v>
      </c>
      <c r="B502" s="176"/>
      <c r="C502" s="266">
        <v>-262500</v>
      </c>
      <c r="D502" s="267"/>
      <c r="E502" s="267"/>
      <c r="F502" s="268">
        <f>SUM(C502:E502)</f>
        <v>-262500</v>
      </c>
      <c r="G502" s="154"/>
      <c r="H502" s="38"/>
      <c r="I502" s="98">
        <f>SUM(F502:H502)</f>
        <v>-262500</v>
      </c>
      <c r="J502" s="44"/>
      <c r="K502" s="38"/>
      <c r="L502" s="98">
        <f>SUM(I502:K502)</f>
        <v>-262500</v>
      </c>
      <c r="M502" s="44"/>
      <c r="N502" s="38"/>
      <c r="O502" s="98">
        <f>SUM(L502:N502)</f>
        <v>-262500</v>
      </c>
      <c r="P502" s="129"/>
      <c r="Q502" s="127">
        <f t="shared" si="76"/>
        <v>-262500</v>
      </c>
    </row>
    <row r="503" spans="1:17" ht="15" thickBot="1">
      <c r="A503" s="105" t="s">
        <v>157</v>
      </c>
      <c r="B503" s="177"/>
      <c r="C503" s="274"/>
      <c r="D503" s="269">
        <f>8552.18+5904.26+221084+537+841+291047.34+5560+35176.21+738685.02+10+73.37+15403.87+2205.35+7279.26+1042+20072.43+658.97+590.5+4465.69+7976.61+200+2736.03+349.73+1053.69+526367.02+1691.85+47346.45</f>
        <v>1946909.8300000003</v>
      </c>
      <c r="E503" s="269"/>
      <c r="F503" s="270">
        <f>SUM(C503:E503)</f>
        <v>1946909.8300000003</v>
      </c>
      <c r="G503" s="154"/>
      <c r="H503" s="38"/>
      <c r="I503" s="98">
        <f>SUM(F503:H503)</f>
        <v>1946909.8300000003</v>
      </c>
      <c r="J503" s="44"/>
      <c r="K503" s="38"/>
      <c r="L503" s="98">
        <f>SUM(I503:K503)</f>
        <v>1946909.8300000003</v>
      </c>
      <c r="M503" s="44"/>
      <c r="N503" s="38"/>
      <c r="O503" s="98">
        <f>SUM(L503:N503)</f>
        <v>1946909.8300000003</v>
      </c>
      <c r="P503" s="129"/>
      <c r="Q503" s="127">
        <f t="shared" si="76"/>
        <v>1946909.8300000003</v>
      </c>
    </row>
    <row r="504" spans="1:17" ht="15" hidden="1" thickBot="1">
      <c r="A504" s="105" t="s">
        <v>188</v>
      </c>
      <c r="B504" s="177"/>
      <c r="C504" s="271"/>
      <c r="D504" s="269" t="s">
        <v>263</v>
      </c>
      <c r="E504" s="269"/>
      <c r="F504" s="270">
        <f>SUM(C504:E504)</f>
        <v>0</v>
      </c>
      <c r="G504" s="235"/>
      <c r="H504" s="39"/>
      <c r="I504" s="100">
        <f>SUM(F504:H504)</f>
        <v>0</v>
      </c>
      <c r="J504" s="103">
        <v>0</v>
      </c>
      <c r="K504" s="39">
        <v>0</v>
      </c>
      <c r="L504" s="100">
        <f>SUM(I504:K504)</f>
        <v>0</v>
      </c>
      <c r="M504" s="103"/>
      <c r="N504" s="39"/>
      <c r="O504" s="100">
        <f>SUM(L504:N504)</f>
        <v>0</v>
      </c>
      <c r="P504" s="141"/>
      <c r="Q504" s="128">
        <f t="shared" si="76"/>
        <v>0</v>
      </c>
    </row>
    <row r="505" spans="2:17" ht="12.75">
      <c r="B505" s="178"/>
      <c r="C505" s="210">
        <f aca="true" t="shared" si="82" ref="C505:Q505">C99+C499-C494</f>
        <v>0</v>
      </c>
      <c r="D505" s="210">
        <f t="shared" si="82"/>
        <v>0</v>
      </c>
      <c r="E505" s="210">
        <f t="shared" si="82"/>
        <v>0</v>
      </c>
      <c r="F505" s="210">
        <f t="shared" si="82"/>
        <v>0</v>
      </c>
      <c r="G505" s="101" t="e">
        <f t="shared" si="82"/>
        <v>#REF!</v>
      </c>
      <c r="H505" s="101" t="e">
        <f t="shared" si="82"/>
        <v>#REF!</v>
      </c>
      <c r="I505" s="101" t="e">
        <f t="shared" si="82"/>
        <v>#REF!</v>
      </c>
      <c r="J505" s="101" t="e">
        <f t="shared" si="82"/>
        <v>#REF!</v>
      </c>
      <c r="K505" s="101" t="e">
        <f t="shared" si="82"/>
        <v>#REF!</v>
      </c>
      <c r="L505" s="101" t="e">
        <f t="shared" si="82"/>
        <v>#REF!</v>
      </c>
      <c r="M505" s="101" t="e">
        <f t="shared" si="82"/>
        <v>#REF!</v>
      </c>
      <c r="N505" s="101" t="e">
        <f t="shared" si="82"/>
        <v>#REF!</v>
      </c>
      <c r="O505" s="101" t="e">
        <f t="shared" si="82"/>
        <v>#REF!</v>
      </c>
      <c r="P505" s="101" t="e">
        <f t="shared" si="82"/>
        <v>#REF!</v>
      </c>
      <c r="Q505" s="101" t="e">
        <f t="shared" si="82"/>
        <v>#REF!</v>
      </c>
    </row>
    <row r="506" spans="2:16" ht="12.75">
      <c r="B506" s="178"/>
      <c r="P506" s="101"/>
    </row>
    <row r="507" spans="2:16" ht="12.75">
      <c r="B507" s="178"/>
      <c r="D507" s="257"/>
      <c r="P507" s="101"/>
    </row>
    <row r="508" spans="2:16" ht="12.75">
      <c r="B508" s="178"/>
      <c r="P508" s="101"/>
    </row>
    <row r="509" spans="2:16" ht="12.75">
      <c r="B509" s="178"/>
      <c r="P509" s="101"/>
    </row>
    <row r="510" spans="2:16" ht="12.75">
      <c r="B510" s="178"/>
      <c r="P510" s="101"/>
    </row>
    <row r="511" spans="2:16" ht="12.75">
      <c r="B511" s="178"/>
      <c r="P511" s="101"/>
    </row>
    <row r="512" spans="2:16" ht="12.75">
      <c r="B512" s="178"/>
      <c r="P512" s="101"/>
    </row>
    <row r="513" spans="2:16" ht="12.75">
      <c r="B513" s="178"/>
      <c r="P513" s="101"/>
    </row>
    <row r="514" spans="2:16" ht="12.75">
      <c r="B514" s="178"/>
      <c r="P514" s="101"/>
    </row>
    <row r="515" spans="2:16" ht="12.75">
      <c r="B515" s="178"/>
      <c r="P515" s="101"/>
    </row>
    <row r="516" spans="2:16" ht="12.75">
      <c r="B516" s="178"/>
      <c r="P516" s="101"/>
    </row>
    <row r="517" spans="2:16" ht="12.75">
      <c r="B517" s="178"/>
      <c r="P517" s="101"/>
    </row>
    <row r="518" spans="2:16" ht="12.75">
      <c r="B518" s="178"/>
      <c r="P518" s="101"/>
    </row>
    <row r="519" spans="2:16" ht="12.75">
      <c r="B519" s="178"/>
      <c r="P519" s="101"/>
    </row>
    <row r="520" spans="2:16" ht="12.75">
      <c r="B520" s="178"/>
      <c r="P520" s="101"/>
    </row>
    <row r="521" spans="2:16" ht="12.75">
      <c r="B521" s="178"/>
      <c r="P521" s="101"/>
    </row>
    <row r="522" spans="2:16" ht="12.75">
      <c r="B522" s="178"/>
      <c r="P522" s="101"/>
    </row>
    <row r="523" spans="2:16" ht="12.75">
      <c r="B523" s="178"/>
      <c r="P523" s="101"/>
    </row>
    <row r="524" spans="2:16" ht="12.75">
      <c r="B524" s="178"/>
      <c r="P524" s="101"/>
    </row>
    <row r="525" ht="12.75">
      <c r="P525" s="101"/>
    </row>
    <row r="526" ht="12.75">
      <c r="P526" s="101"/>
    </row>
    <row r="527" ht="12.75">
      <c r="P527" s="101"/>
    </row>
    <row r="528" ht="12.75">
      <c r="P528" s="101"/>
    </row>
    <row r="529" ht="12.75">
      <c r="P529" s="101"/>
    </row>
    <row r="530" ht="12.75">
      <c r="P530" s="101"/>
    </row>
    <row r="531" ht="12.75">
      <c r="P531" s="101"/>
    </row>
    <row r="532" ht="12.75">
      <c r="P532" s="101"/>
    </row>
    <row r="533" ht="12.75">
      <c r="P533" s="101"/>
    </row>
    <row r="534" ht="12.75">
      <c r="P534" s="101"/>
    </row>
    <row r="535" ht="12.75">
      <c r="P535" s="101"/>
    </row>
    <row r="536" ht="12.75">
      <c r="P536" s="101"/>
    </row>
    <row r="537" ht="12.75">
      <c r="P537" s="101"/>
    </row>
  </sheetData>
  <sheetProtection/>
  <mergeCells count="5">
    <mergeCell ref="A8:A9"/>
    <mergeCell ref="A3:Q3"/>
    <mergeCell ref="A4:Q4"/>
    <mergeCell ref="A5:Q5"/>
    <mergeCell ref="A6:Q6"/>
  </mergeCells>
  <printOptions horizontalCentered="1"/>
  <pageMargins left="0.3937007874015748" right="0.1968503937007874" top="0.7086614173228347" bottom="0.3937007874015748" header="0.5118110236220472" footer="0.11811023622047245"/>
  <pageSetup horizontalDpi="600" verticalDpi="600" orientation="portrait" paperSize="9" scale="95" r:id="rId1"/>
  <headerFooter alignWithMargins="0">
    <oddFooter>&amp;CStránka &amp;P</oddFooter>
  </headerFooter>
  <rowBreaks count="5" manualBreakCount="5">
    <brk id="113" max="5" man="1"/>
    <brk id="200" max="5" man="1"/>
    <brk id="293" max="5" man="1"/>
    <brk id="380" max="5" man="1"/>
    <brk id="4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37"/>
  <sheetViews>
    <sheetView tabSelected="1" zoomScaleSheetLayoutView="69" zoomScalePageLayoutView="0" workbookViewId="0" topLeftCell="A1">
      <pane xSplit="1" ySplit="9" topLeftCell="C15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182" sqref="E182"/>
    </sheetView>
  </sheetViews>
  <sheetFormatPr defaultColWidth="9.00390625" defaultRowHeight="12.75"/>
  <cols>
    <col min="1" max="1" width="49.875" style="0" customWidth="1"/>
    <col min="2" max="2" width="10.00390625" style="0" hidden="1" customWidth="1"/>
    <col min="3" max="3" width="15.25390625" style="0" customWidth="1"/>
    <col min="4" max="4" width="15.125" style="0" customWidth="1"/>
    <col min="5" max="5" width="12.875" style="0" customWidth="1"/>
    <col min="6" max="6" width="16.375" style="0" customWidth="1"/>
    <col min="7" max="7" width="12.625" style="0" hidden="1" customWidth="1"/>
    <col min="8" max="8" width="12.75390625" style="0" hidden="1" customWidth="1"/>
    <col min="9" max="9" width="14.125" style="0" hidden="1" customWidth="1"/>
    <col min="10" max="11" width="13.75390625" style="0" hidden="1" customWidth="1"/>
    <col min="12" max="12" width="14.25390625" style="0" hidden="1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15.125" style="0" hidden="1" customWidth="1"/>
  </cols>
  <sheetData>
    <row r="1" spans="3:17" ht="12.75">
      <c r="C1" s="1"/>
      <c r="D1" s="1"/>
      <c r="E1" s="1"/>
      <c r="F1" s="2" t="s">
        <v>161</v>
      </c>
      <c r="I1" s="2"/>
      <c r="L1" s="2"/>
      <c r="O1" s="2"/>
      <c r="Q1" s="2" t="s">
        <v>161</v>
      </c>
    </row>
    <row r="2" spans="3:6" ht="9.75" customHeight="1">
      <c r="C2" s="1"/>
      <c r="D2" s="1"/>
      <c r="E2" s="1"/>
      <c r="F2" s="2"/>
    </row>
    <row r="3" spans="1:17" ht="15.75">
      <c r="A3" s="277" t="s">
        <v>349</v>
      </c>
      <c r="B3" s="277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</row>
    <row r="4" spans="1:17" ht="15.75">
      <c r="A4" s="279" t="s">
        <v>300</v>
      </c>
      <c r="B4" s="279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</row>
    <row r="5" spans="1:17" ht="15">
      <c r="A5" s="280" t="s">
        <v>0</v>
      </c>
      <c r="B5" s="280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</row>
    <row r="6" spans="1:17" ht="12.75">
      <c r="A6" s="281" t="s">
        <v>1</v>
      </c>
      <c r="B6" s="281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</row>
    <row r="7" spans="1:13" ht="18" customHeight="1" thickBot="1">
      <c r="A7" s="3"/>
      <c r="B7" s="3"/>
      <c r="C7" s="4"/>
      <c r="D7" s="247"/>
      <c r="E7" s="4"/>
      <c r="F7" s="4"/>
      <c r="J7" s="113"/>
      <c r="M7" s="99"/>
    </row>
    <row r="8" spans="1:17" ht="12.75">
      <c r="A8" s="275" t="s">
        <v>2</v>
      </c>
      <c r="B8" s="155" t="s">
        <v>315</v>
      </c>
      <c r="C8" s="45" t="s">
        <v>3</v>
      </c>
      <c r="D8" s="46" t="s">
        <v>4</v>
      </c>
      <c r="E8" s="46" t="s">
        <v>5</v>
      </c>
      <c r="F8" s="47" t="s">
        <v>6</v>
      </c>
      <c r="G8" s="224" t="s">
        <v>7</v>
      </c>
      <c r="H8" s="46" t="s">
        <v>5</v>
      </c>
      <c r="I8" s="47" t="s">
        <v>6</v>
      </c>
      <c r="J8" s="45" t="s">
        <v>8</v>
      </c>
      <c r="K8" s="46" t="s">
        <v>5</v>
      </c>
      <c r="L8" s="47" t="s">
        <v>6</v>
      </c>
      <c r="M8" s="45" t="s">
        <v>9</v>
      </c>
      <c r="N8" s="46" t="s">
        <v>5</v>
      </c>
      <c r="O8" s="47" t="s">
        <v>6</v>
      </c>
      <c r="P8" s="45" t="s">
        <v>203</v>
      </c>
      <c r="Q8" s="118" t="s">
        <v>6</v>
      </c>
    </row>
    <row r="9" spans="1:17" ht="13.5" thickBot="1">
      <c r="A9" s="276"/>
      <c r="B9" s="264" t="s">
        <v>228</v>
      </c>
      <c r="C9" s="95" t="s">
        <v>10</v>
      </c>
      <c r="D9" s="96" t="s">
        <v>11</v>
      </c>
      <c r="E9" s="96" t="s">
        <v>12</v>
      </c>
      <c r="F9" s="97" t="s">
        <v>13</v>
      </c>
      <c r="G9" s="225" t="s">
        <v>11</v>
      </c>
      <c r="H9" s="96" t="s">
        <v>12</v>
      </c>
      <c r="I9" s="97" t="s">
        <v>14</v>
      </c>
      <c r="J9" s="95" t="s">
        <v>11</v>
      </c>
      <c r="K9" s="96" t="s">
        <v>12</v>
      </c>
      <c r="L9" s="97" t="s">
        <v>15</v>
      </c>
      <c r="M9" s="95" t="s">
        <v>11</v>
      </c>
      <c r="N9" s="96" t="s">
        <v>12</v>
      </c>
      <c r="O9" s="97" t="s">
        <v>16</v>
      </c>
      <c r="P9" s="95" t="s">
        <v>11</v>
      </c>
      <c r="Q9" s="119" t="s">
        <v>204</v>
      </c>
    </row>
    <row r="10" spans="1:17" ht="15.75" customHeight="1">
      <c r="A10" s="93" t="s">
        <v>17</v>
      </c>
      <c r="B10" s="156"/>
      <c r="C10" s="64"/>
      <c r="D10" s="5"/>
      <c r="E10" s="5"/>
      <c r="F10" s="94"/>
      <c r="G10" s="226"/>
      <c r="H10" s="5"/>
      <c r="I10" s="94"/>
      <c r="J10" s="64"/>
      <c r="K10" s="5"/>
      <c r="L10" s="94"/>
      <c r="M10" s="64"/>
      <c r="N10" s="5"/>
      <c r="O10" s="94"/>
      <c r="P10" s="124"/>
      <c r="Q10" s="125"/>
    </row>
    <row r="11" spans="1:17" ht="12.75">
      <c r="A11" s="67" t="s">
        <v>301</v>
      </c>
      <c r="B11" s="157"/>
      <c r="C11" s="261">
        <f>C13+C14+C15</f>
        <v>3575069</v>
      </c>
      <c r="D11" s="180">
        <f>D13+D14+D15</f>
        <v>27664.74</v>
      </c>
      <c r="E11" s="262">
        <f>E13+E14+E15</f>
        <v>0</v>
      </c>
      <c r="F11" s="181">
        <f>F13+F14+F15</f>
        <v>3602733.74</v>
      </c>
      <c r="G11" s="227"/>
      <c r="H11" s="6"/>
      <c r="I11" s="49">
        <f>F11+G11+H11</f>
        <v>3602733.74</v>
      </c>
      <c r="J11" s="48"/>
      <c r="K11" s="6"/>
      <c r="L11" s="49">
        <f>I11+J11+K11</f>
        <v>3602733.74</v>
      </c>
      <c r="M11" s="48"/>
      <c r="N11" s="6"/>
      <c r="O11" s="49">
        <f>L11+M11+N11</f>
        <v>3602733.74</v>
      </c>
      <c r="P11" s="129"/>
      <c r="Q11" s="126">
        <f>O11+P11</f>
        <v>3602733.74</v>
      </c>
    </row>
    <row r="12" spans="1:17" ht="12.75">
      <c r="A12" s="68" t="s">
        <v>18</v>
      </c>
      <c r="B12" s="158"/>
      <c r="C12" s="179"/>
      <c r="D12" s="180"/>
      <c r="E12" s="180"/>
      <c r="F12" s="181"/>
      <c r="G12" s="227"/>
      <c r="H12" s="6"/>
      <c r="I12" s="49"/>
      <c r="J12" s="48"/>
      <c r="K12" s="6"/>
      <c r="L12" s="49"/>
      <c r="M12" s="48"/>
      <c r="N12" s="6"/>
      <c r="O12" s="49"/>
      <c r="P12" s="129"/>
      <c r="Q12" s="127"/>
    </row>
    <row r="13" spans="1:17" ht="12.75">
      <c r="A13" s="166" t="s">
        <v>308</v>
      </c>
      <c r="B13" s="158"/>
      <c r="C13" s="184">
        <v>3574869</v>
      </c>
      <c r="D13" s="182">
        <f>6470</f>
        <v>6470</v>
      </c>
      <c r="E13" s="180"/>
      <c r="F13" s="183">
        <f>C13+D13+E13</f>
        <v>3581339</v>
      </c>
      <c r="G13" s="227"/>
      <c r="H13" s="6"/>
      <c r="I13" s="49"/>
      <c r="J13" s="48"/>
      <c r="K13" s="6"/>
      <c r="L13" s="49"/>
      <c r="M13" s="48"/>
      <c r="N13" s="6"/>
      <c r="O13" s="49"/>
      <c r="P13" s="129"/>
      <c r="Q13" s="127"/>
    </row>
    <row r="14" spans="1:17" ht="12.75">
      <c r="A14" s="69" t="s">
        <v>19</v>
      </c>
      <c r="B14" s="159"/>
      <c r="C14" s="184"/>
      <c r="D14" s="199">
        <f>21194.74</f>
        <v>21194.74</v>
      </c>
      <c r="E14" s="182"/>
      <c r="F14" s="183">
        <f>C14+D14+E14</f>
        <v>21194.74</v>
      </c>
      <c r="G14" s="228"/>
      <c r="H14" s="6"/>
      <c r="I14" s="51">
        <f>F14+G14+H14</f>
        <v>21194.74</v>
      </c>
      <c r="J14" s="50"/>
      <c r="K14" s="6"/>
      <c r="L14" s="51">
        <f>I14+J14+K14</f>
        <v>21194.74</v>
      </c>
      <c r="M14" s="50"/>
      <c r="N14" s="6"/>
      <c r="O14" s="51">
        <f>L14+M14+N14</f>
        <v>21194.74</v>
      </c>
      <c r="P14" s="129"/>
      <c r="Q14" s="127">
        <f aca="true" t="shared" si="0" ref="Q14:Q84">O14+P14</f>
        <v>21194.74</v>
      </c>
    </row>
    <row r="15" spans="1:17" ht="12.75">
      <c r="A15" s="166" t="s">
        <v>309</v>
      </c>
      <c r="B15" s="159"/>
      <c r="C15" s="184">
        <v>200</v>
      </c>
      <c r="D15" s="199"/>
      <c r="E15" s="182"/>
      <c r="F15" s="183">
        <f>C15+D15+E15</f>
        <v>200</v>
      </c>
      <c r="G15" s="228"/>
      <c r="H15" s="6"/>
      <c r="I15" s="51"/>
      <c r="J15" s="228"/>
      <c r="K15" s="6"/>
      <c r="L15" s="51"/>
      <c r="M15" s="228"/>
      <c r="N15" s="6"/>
      <c r="O15" s="51"/>
      <c r="P15" s="260"/>
      <c r="Q15" s="127"/>
    </row>
    <row r="16" spans="1:17" ht="12.75">
      <c r="A16" s="67" t="s">
        <v>302</v>
      </c>
      <c r="B16" s="157"/>
      <c r="C16" s="179">
        <f aca="true" t="shared" si="1" ref="C16:Q16">SUM(C18:C37)+C44</f>
        <v>226820.6</v>
      </c>
      <c r="D16" s="180">
        <f t="shared" si="1"/>
        <v>14928.48</v>
      </c>
      <c r="E16" s="180">
        <f t="shared" si="1"/>
        <v>1800</v>
      </c>
      <c r="F16" s="181">
        <f t="shared" si="1"/>
        <v>243549.08000000002</v>
      </c>
      <c r="G16" s="229">
        <f t="shared" si="1"/>
        <v>0</v>
      </c>
      <c r="H16" s="180">
        <f t="shared" si="1"/>
        <v>0</v>
      </c>
      <c r="I16" s="181">
        <f t="shared" si="1"/>
        <v>240995.48</v>
      </c>
      <c r="J16" s="180">
        <f t="shared" si="1"/>
        <v>0</v>
      </c>
      <c r="K16" s="180">
        <f t="shared" si="1"/>
        <v>0</v>
      </c>
      <c r="L16" s="181">
        <f t="shared" si="1"/>
        <v>240995.48</v>
      </c>
      <c r="M16" s="180">
        <f t="shared" si="1"/>
        <v>0</v>
      </c>
      <c r="N16" s="180">
        <f t="shared" si="1"/>
        <v>0</v>
      </c>
      <c r="O16" s="181">
        <f t="shared" si="1"/>
        <v>240995.48</v>
      </c>
      <c r="P16" s="180">
        <f t="shared" si="1"/>
        <v>0</v>
      </c>
      <c r="Q16" s="181">
        <f t="shared" si="1"/>
        <v>240995.48</v>
      </c>
    </row>
    <row r="17" spans="1:17" ht="10.5" customHeight="1">
      <c r="A17" s="68" t="s">
        <v>20</v>
      </c>
      <c r="B17" s="158"/>
      <c r="C17" s="179"/>
      <c r="D17" s="180"/>
      <c r="E17" s="180"/>
      <c r="F17" s="181"/>
      <c r="G17" s="227"/>
      <c r="H17" s="6"/>
      <c r="I17" s="49"/>
      <c r="J17" s="48"/>
      <c r="K17" s="6"/>
      <c r="L17" s="49"/>
      <c r="M17" s="48"/>
      <c r="N17" s="6"/>
      <c r="O17" s="49"/>
      <c r="P17" s="129"/>
      <c r="Q17" s="127"/>
    </row>
    <row r="18" spans="1:17" ht="12.75">
      <c r="A18" s="69" t="s">
        <v>21</v>
      </c>
      <c r="B18" s="159"/>
      <c r="C18" s="184">
        <v>1500</v>
      </c>
      <c r="D18" s="182"/>
      <c r="E18" s="182"/>
      <c r="F18" s="183">
        <f>C18+D18+E18</f>
        <v>1500</v>
      </c>
      <c r="G18" s="228"/>
      <c r="H18" s="7"/>
      <c r="I18" s="51">
        <f>F18+G18+H18</f>
        <v>1500</v>
      </c>
      <c r="J18" s="50"/>
      <c r="K18" s="7"/>
      <c r="L18" s="51">
        <f>I18+J18+K18</f>
        <v>1500</v>
      </c>
      <c r="M18" s="50"/>
      <c r="N18" s="7"/>
      <c r="O18" s="51">
        <f>L18+M18+N18</f>
        <v>1500</v>
      </c>
      <c r="P18" s="129"/>
      <c r="Q18" s="127">
        <f t="shared" si="0"/>
        <v>1500</v>
      </c>
    </row>
    <row r="19" spans="1:17" ht="12.75" hidden="1">
      <c r="A19" s="69" t="s">
        <v>22</v>
      </c>
      <c r="B19" s="159"/>
      <c r="C19" s="184"/>
      <c r="D19" s="182"/>
      <c r="E19" s="182"/>
      <c r="F19" s="183">
        <f aca="true" t="shared" si="2" ref="F19:F44">C19+D19+E19</f>
        <v>0</v>
      </c>
      <c r="G19" s="228"/>
      <c r="H19" s="7"/>
      <c r="I19" s="51">
        <f aca="true" t="shared" si="3" ref="I19:I36">F19+G19+H19</f>
        <v>0</v>
      </c>
      <c r="J19" s="50"/>
      <c r="K19" s="7"/>
      <c r="L19" s="51">
        <f aca="true" t="shared" si="4" ref="L19:L36">I19+J19+K19</f>
        <v>0</v>
      </c>
      <c r="M19" s="50"/>
      <c r="N19" s="7"/>
      <c r="O19" s="51">
        <f aca="true" t="shared" si="5" ref="O19:O36">L19+M19+N19</f>
        <v>0</v>
      </c>
      <c r="P19" s="129"/>
      <c r="Q19" s="127">
        <f t="shared" si="0"/>
        <v>0</v>
      </c>
    </row>
    <row r="20" spans="1:17" ht="12.75" hidden="1">
      <c r="A20" s="69" t="s">
        <v>23</v>
      </c>
      <c r="B20" s="159"/>
      <c r="C20" s="184"/>
      <c r="D20" s="182"/>
      <c r="E20" s="182"/>
      <c r="F20" s="183">
        <f t="shared" si="2"/>
        <v>0</v>
      </c>
      <c r="G20" s="228"/>
      <c r="H20" s="7"/>
      <c r="I20" s="51">
        <f t="shared" si="3"/>
        <v>0</v>
      </c>
      <c r="J20" s="50"/>
      <c r="K20" s="7"/>
      <c r="L20" s="51">
        <f t="shared" si="4"/>
        <v>0</v>
      </c>
      <c r="M20" s="50"/>
      <c r="N20" s="7"/>
      <c r="O20" s="51">
        <f t="shared" si="5"/>
        <v>0</v>
      </c>
      <c r="P20" s="129"/>
      <c r="Q20" s="127">
        <f t="shared" si="0"/>
        <v>0</v>
      </c>
    </row>
    <row r="21" spans="1:17" ht="12.75" hidden="1">
      <c r="A21" s="166" t="s">
        <v>320</v>
      </c>
      <c r="B21" s="159"/>
      <c r="C21" s="184"/>
      <c r="D21" s="182"/>
      <c r="E21" s="182"/>
      <c r="F21" s="183">
        <f t="shared" si="2"/>
        <v>0</v>
      </c>
      <c r="G21" s="228"/>
      <c r="H21" s="7"/>
      <c r="I21" s="51">
        <f t="shared" si="3"/>
        <v>0</v>
      </c>
      <c r="J21" s="50"/>
      <c r="K21" s="7"/>
      <c r="L21" s="51">
        <f t="shared" si="4"/>
        <v>0</v>
      </c>
      <c r="M21" s="50"/>
      <c r="N21" s="7"/>
      <c r="O21" s="51">
        <f t="shared" si="5"/>
        <v>0</v>
      </c>
      <c r="P21" s="129"/>
      <c r="Q21" s="127">
        <f t="shared" si="0"/>
        <v>0</v>
      </c>
    </row>
    <row r="22" spans="1:17" ht="12.75">
      <c r="A22" s="69" t="s">
        <v>24</v>
      </c>
      <c r="B22" s="159"/>
      <c r="C22" s="184">
        <v>45000</v>
      </c>
      <c r="D22" s="182"/>
      <c r="E22" s="182"/>
      <c r="F22" s="183">
        <f t="shared" si="2"/>
        <v>45000</v>
      </c>
      <c r="G22" s="228"/>
      <c r="H22" s="7"/>
      <c r="I22" s="51">
        <f t="shared" si="3"/>
        <v>45000</v>
      </c>
      <c r="J22" s="50"/>
      <c r="K22" s="7"/>
      <c r="L22" s="51">
        <f t="shared" si="4"/>
        <v>45000</v>
      </c>
      <c r="M22" s="50"/>
      <c r="N22" s="7"/>
      <c r="O22" s="51">
        <f t="shared" si="5"/>
        <v>45000</v>
      </c>
      <c r="P22" s="129"/>
      <c r="Q22" s="127">
        <f t="shared" si="0"/>
        <v>45000</v>
      </c>
    </row>
    <row r="23" spans="1:17" ht="12.75" hidden="1">
      <c r="A23" s="69" t="s">
        <v>26</v>
      </c>
      <c r="B23" s="159"/>
      <c r="C23" s="184"/>
      <c r="D23" s="182"/>
      <c r="E23" s="182"/>
      <c r="F23" s="183">
        <f t="shared" si="2"/>
        <v>0</v>
      </c>
      <c r="G23" s="228"/>
      <c r="H23" s="7"/>
      <c r="I23" s="51">
        <f t="shared" si="3"/>
        <v>0</v>
      </c>
      <c r="J23" s="50"/>
      <c r="K23" s="7"/>
      <c r="L23" s="51">
        <f t="shared" si="4"/>
        <v>0</v>
      </c>
      <c r="M23" s="50"/>
      <c r="N23" s="7"/>
      <c r="O23" s="51">
        <f t="shared" si="5"/>
        <v>0</v>
      </c>
      <c r="P23" s="129"/>
      <c r="Q23" s="127">
        <f t="shared" si="0"/>
        <v>0</v>
      </c>
    </row>
    <row r="24" spans="1:17" ht="12.75">
      <c r="A24" s="70" t="s">
        <v>169</v>
      </c>
      <c r="B24" s="160"/>
      <c r="C24" s="184">
        <v>21583.8</v>
      </c>
      <c r="D24" s="182"/>
      <c r="E24" s="182"/>
      <c r="F24" s="183">
        <f t="shared" si="2"/>
        <v>21583.8</v>
      </c>
      <c r="G24" s="228"/>
      <c r="H24" s="7"/>
      <c r="I24" s="51">
        <f t="shared" si="3"/>
        <v>21583.8</v>
      </c>
      <c r="J24" s="50"/>
      <c r="K24" s="7"/>
      <c r="L24" s="51">
        <f t="shared" si="4"/>
        <v>21583.8</v>
      </c>
      <c r="M24" s="50"/>
      <c r="N24" s="7"/>
      <c r="O24" s="51">
        <f t="shared" si="5"/>
        <v>21583.8</v>
      </c>
      <c r="P24" s="129"/>
      <c r="Q24" s="127">
        <f t="shared" si="0"/>
        <v>21583.8</v>
      </c>
    </row>
    <row r="25" spans="1:17" ht="12.75">
      <c r="A25" s="70" t="s">
        <v>178</v>
      </c>
      <c r="B25" s="160"/>
      <c r="C25" s="184">
        <v>40000</v>
      </c>
      <c r="D25" s="182">
        <f>10000</f>
        <v>10000</v>
      </c>
      <c r="E25" s="182"/>
      <c r="F25" s="183">
        <f t="shared" si="2"/>
        <v>50000</v>
      </c>
      <c r="G25" s="228"/>
      <c r="H25" s="7"/>
      <c r="I25" s="51">
        <f t="shared" si="3"/>
        <v>50000</v>
      </c>
      <c r="J25" s="50"/>
      <c r="K25" s="7"/>
      <c r="L25" s="51">
        <f t="shared" si="4"/>
        <v>50000</v>
      </c>
      <c r="M25" s="50"/>
      <c r="N25" s="7"/>
      <c r="O25" s="51">
        <f t="shared" si="5"/>
        <v>50000</v>
      </c>
      <c r="P25" s="129"/>
      <c r="Q25" s="127">
        <f t="shared" si="0"/>
        <v>50000</v>
      </c>
    </row>
    <row r="26" spans="1:17" ht="12.75" hidden="1">
      <c r="A26" s="70" t="s">
        <v>264</v>
      </c>
      <c r="B26" s="160"/>
      <c r="C26" s="184"/>
      <c r="D26" s="182"/>
      <c r="E26" s="182"/>
      <c r="F26" s="183">
        <f t="shared" si="2"/>
        <v>0</v>
      </c>
      <c r="G26" s="228"/>
      <c r="H26" s="7"/>
      <c r="I26" s="51"/>
      <c r="J26" s="50"/>
      <c r="K26" s="7"/>
      <c r="L26" s="51"/>
      <c r="M26" s="50"/>
      <c r="N26" s="7"/>
      <c r="O26" s="51"/>
      <c r="P26" s="129"/>
      <c r="Q26" s="127"/>
    </row>
    <row r="27" spans="1:17" ht="12.75" hidden="1">
      <c r="A27" s="70" t="s">
        <v>25</v>
      </c>
      <c r="B27" s="160"/>
      <c r="C27" s="184"/>
      <c r="D27" s="182"/>
      <c r="E27" s="182"/>
      <c r="F27" s="183">
        <f t="shared" si="2"/>
        <v>0</v>
      </c>
      <c r="G27" s="228"/>
      <c r="H27" s="7"/>
      <c r="I27" s="51">
        <f t="shared" si="3"/>
        <v>0</v>
      </c>
      <c r="J27" s="50"/>
      <c r="K27" s="7"/>
      <c r="L27" s="51">
        <f t="shared" si="4"/>
        <v>0</v>
      </c>
      <c r="M27" s="65"/>
      <c r="N27" s="7"/>
      <c r="O27" s="51">
        <f t="shared" si="5"/>
        <v>0</v>
      </c>
      <c r="P27" s="129"/>
      <c r="Q27" s="127">
        <f t="shared" si="0"/>
        <v>0</v>
      </c>
    </row>
    <row r="28" spans="1:17" ht="12.75">
      <c r="A28" s="70" t="s">
        <v>346</v>
      </c>
      <c r="B28" s="160"/>
      <c r="C28" s="184"/>
      <c r="D28" s="182">
        <f>515.32</f>
        <v>515.32</v>
      </c>
      <c r="E28" s="182"/>
      <c r="F28" s="183">
        <f t="shared" si="2"/>
        <v>515.32</v>
      </c>
      <c r="G28" s="228"/>
      <c r="H28" s="7"/>
      <c r="I28" s="51"/>
      <c r="J28" s="50"/>
      <c r="K28" s="7"/>
      <c r="L28" s="51"/>
      <c r="M28" s="50"/>
      <c r="N28" s="7"/>
      <c r="O28" s="51"/>
      <c r="P28" s="129"/>
      <c r="Q28" s="127"/>
    </row>
    <row r="29" spans="1:17" ht="12.75">
      <c r="A29" s="70" t="s">
        <v>339</v>
      </c>
      <c r="B29" s="160"/>
      <c r="C29" s="184"/>
      <c r="D29" s="182">
        <v>43.5</v>
      </c>
      <c r="E29" s="182"/>
      <c r="F29" s="183">
        <f t="shared" si="2"/>
        <v>43.5</v>
      </c>
      <c r="G29" s="228"/>
      <c r="H29" s="7"/>
      <c r="I29" s="51"/>
      <c r="J29" s="50"/>
      <c r="K29" s="7"/>
      <c r="L29" s="51"/>
      <c r="M29" s="50"/>
      <c r="N29" s="7"/>
      <c r="O29" s="51"/>
      <c r="P29" s="129"/>
      <c r="Q29" s="127"/>
    </row>
    <row r="30" spans="1:17" ht="12.75" hidden="1">
      <c r="A30" s="70" t="s">
        <v>179</v>
      </c>
      <c r="B30" s="160"/>
      <c r="C30" s="184"/>
      <c r="D30" s="182"/>
      <c r="E30" s="182"/>
      <c r="F30" s="183">
        <f t="shared" si="2"/>
        <v>0</v>
      </c>
      <c r="G30" s="228"/>
      <c r="H30" s="7"/>
      <c r="I30" s="51">
        <f t="shared" si="3"/>
        <v>0</v>
      </c>
      <c r="J30" s="50"/>
      <c r="K30" s="7"/>
      <c r="L30" s="51">
        <f t="shared" si="4"/>
        <v>0</v>
      </c>
      <c r="M30" s="50"/>
      <c r="N30" s="7"/>
      <c r="O30" s="51">
        <f t="shared" si="5"/>
        <v>0</v>
      </c>
      <c r="P30" s="129"/>
      <c r="Q30" s="127">
        <f t="shared" si="0"/>
        <v>0</v>
      </c>
    </row>
    <row r="31" spans="1:17" ht="12.75" hidden="1">
      <c r="A31" s="70" t="s">
        <v>180</v>
      </c>
      <c r="B31" s="160"/>
      <c r="C31" s="184"/>
      <c r="D31" s="182"/>
      <c r="E31" s="182"/>
      <c r="F31" s="183">
        <f t="shared" si="2"/>
        <v>0</v>
      </c>
      <c r="G31" s="228"/>
      <c r="H31" s="7"/>
      <c r="I31" s="51">
        <f t="shared" si="3"/>
        <v>0</v>
      </c>
      <c r="J31" s="50"/>
      <c r="K31" s="7"/>
      <c r="L31" s="51">
        <f t="shared" si="4"/>
        <v>0</v>
      </c>
      <c r="M31" s="50"/>
      <c r="N31" s="7"/>
      <c r="O31" s="51">
        <f t="shared" si="5"/>
        <v>0</v>
      </c>
      <c r="P31" s="129"/>
      <c r="Q31" s="127">
        <f t="shared" si="0"/>
        <v>0</v>
      </c>
    </row>
    <row r="32" spans="1:17" ht="12.75">
      <c r="A32" s="70" t="s">
        <v>295</v>
      </c>
      <c r="B32" s="160"/>
      <c r="C32" s="184"/>
      <c r="D32" s="182">
        <f>719.88</f>
        <v>719.88</v>
      </c>
      <c r="E32" s="182"/>
      <c r="F32" s="183">
        <f t="shared" si="2"/>
        <v>719.88</v>
      </c>
      <c r="G32" s="228"/>
      <c r="H32" s="7"/>
      <c r="I32" s="51">
        <f t="shared" si="3"/>
        <v>719.88</v>
      </c>
      <c r="J32" s="50"/>
      <c r="K32" s="7"/>
      <c r="L32" s="51">
        <f t="shared" si="4"/>
        <v>719.88</v>
      </c>
      <c r="M32" s="50"/>
      <c r="N32" s="7"/>
      <c r="O32" s="51">
        <f t="shared" si="5"/>
        <v>719.88</v>
      </c>
      <c r="P32" s="129"/>
      <c r="Q32" s="127">
        <f t="shared" si="0"/>
        <v>719.88</v>
      </c>
    </row>
    <row r="33" spans="1:17" ht="12.75">
      <c r="A33" s="70" t="s">
        <v>181</v>
      </c>
      <c r="B33" s="160"/>
      <c r="C33" s="184"/>
      <c r="D33" s="182">
        <f>2400+7.1</f>
        <v>2407.1</v>
      </c>
      <c r="E33" s="182"/>
      <c r="F33" s="183">
        <f t="shared" si="2"/>
        <v>2407.1</v>
      </c>
      <c r="G33" s="228"/>
      <c r="H33" s="7"/>
      <c r="I33" s="51">
        <f t="shared" si="3"/>
        <v>2407.1</v>
      </c>
      <c r="J33" s="50"/>
      <c r="K33" s="7"/>
      <c r="L33" s="51">
        <f t="shared" si="4"/>
        <v>2407.1</v>
      </c>
      <c r="M33" s="50"/>
      <c r="N33" s="7"/>
      <c r="O33" s="51">
        <f t="shared" si="5"/>
        <v>2407.1</v>
      </c>
      <c r="P33" s="129"/>
      <c r="Q33" s="127">
        <f t="shared" si="0"/>
        <v>2407.1</v>
      </c>
    </row>
    <row r="34" spans="1:17" ht="12.75" hidden="1">
      <c r="A34" s="70" t="s">
        <v>173</v>
      </c>
      <c r="B34" s="160"/>
      <c r="C34" s="184"/>
      <c r="D34" s="182"/>
      <c r="E34" s="182"/>
      <c r="F34" s="183">
        <f t="shared" si="2"/>
        <v>0</v>
      </c>
      <c r="G34" s="228"/>
      <c r="H34" s="7"/>
      <c r="I34" s="51">
        <f t="shared" si="3"/>
        <v>0</v>
      </c>
      <c r="J34" s="50"/>
      <c r="K34" s="7"/>
      <c r="L34" s="51">
        <f t="shared" si="4"/>
        <v>0</v>
      </c>
      <c r="M34" s="50"/>
      <c r="N34" s="7"/>
      <c r="O34" s="51">
        <f t="shared" si="5"/>
        <v>0</v>
      </c>
      <c r="P34" s="129"/>
      <c r="Q34" s="127">
        <f t="shared" si="0"/>
        <v>0</v>
      </c>
    </row>
    <row r="35" spans="1:17" ht="12.75" hidden="1">
      <c r="A35" s="70" t="s">
        <v>182</v>
      </c>
      <c r="B35" s="160"/>
      <c r="C35" s="184"/>
      <c r="D35" s="182"/>
      <c r="E35" s="182"/>
      <c r="F35" s="183">
        <f t="shared" si="2"/>
        <v>0</v>
      </c>
      <c r="G35" s="228"/>
      <c r="H35" s="7"/>
      <c r="I35" s="51">
        <f t="shared" si="3"/>
        <v>0</v>
      </c>
      <c r="J35" s="50"/>
      <c r="K35" s="7"/>
      <c r="L35" s="51">
        <f t="shared" si="4"/>
        <v>0</v>
      </c>
      <c r="M35" s="50"/>
      <c r="N35" s="7"/>
      <c r="O35" s="51">
        <f t="shared" si="5"/>
        <v>0</v>
      </c>
      <c r="P35" s="129"/>
      <c r="Q35" s="127">
        <f t="shared" si="0"/>
        <v>0</v>
      </c>
    </row>
    <row r="36" spans="1:17" ht="12.75" hidden="1">
      <c r="A36" s="70" t="s">
        <v>183</v>
      </c>
      <c r="B36" s="160"/>
      <c r="C36" s="184"/>
      <c r="D36" s="182"/>
      <c r="E36" s="182"/>
      <c r="F36" s="183">
        <f t="shared" si="2"/>
        <v>0</v>
      </c>
      <c r="G36" s="228"/>
      <c r="H36" s="7"/>
      <c r="I36" s="51">
        <f t="shared" si="3"/>
        <v>0</v>
      </c>
      <c r="J36" s="50"/>
      <c r="K36" s="7"/>
      <c r="L36" s="51">
        <f t="shared" si="4"/>
        <v>0</v>
      </c>
      <c r="M36" s="50"/>
      <c r="N36" s="7"/>
      <c r="O36" s="51">
        <f t="shared" si="5"/>
        <v>0</v>
      </c>
      <c r="P36" s="129"/>
      <c r="Q36" s="127">
        <f t="shared" si="0"/>
        <v>0</v>
      </c>
    </row>
    <row r="37" spans="1:17" ht="12.75">
      <c r="A37" s="69" t="s">
        <v>27</v>
      </c>
      <c r="B37" s="159"/>
      <c r="C37" s="184">
        <f>SUM(C38:C43)</f>
        <v>118736.8</v>
      </c>
      <c r="D37" s="182">
        <f>SUM(D38:D43)</f>
        <v>-752.1000000000001</v>
      </c>
      <c r="E37" s="182">
        <f>SUM(E38:E43)</f>
        <v>1800</v>
      </c>
      <c r="F37" s="183">
        <f>SUM(F38:F43)</f>
        <v>119784.7</v>
      </c>
      <c r="G37" s="228"/>
      <c r="H37" s="7"/>
      <c r="I37" s="51">
        <f>SUM(I38:I43)</f>
        <v>119784.7</v>
      </c>
      <c r="J37" s="50"/>
      <c r="K37" s="7"/>
      <c r="L37" s="51">
        <f>SUM(L38:L43)</f>
        <v>119784.7</v>
      </c>
      <c r="M37" s="50"/>
      <c r="N37" s="7"/>
      <c r="O37" s="51">
        <f>SUM(O38:O43)</f>
        <v>119784.7</v>
      </c>
      <c r="P37" s="131"/>
      <c r="Q37" s="116">
        <f>SUM(Q38:Q43)</f>
        <v>119784.7</v>
      </c>
    </row>
    <row r="38" spans="1:17" ht="12.75">
      <c r="A38" s="69" t="s">
        <v>28</v>
      </c>
      <c r="B38" s="159"/>
      <c r="C38" s="184">
        <v>42996</v>
      </c>
      <c r="D38" s="182">
        <f>330.3</f>
        <v>330.3</v>
      </c>
      <c r="E38" s="182"/>
      <c r="F38" s="183">
        <f t="shared" si="2"/>
        <v>43326.3</v>
      </c>
      <c r="G38" s="228"/>
      <c r="H38" s="7"/>
      <c r="I38" s="51">
        <f aca="true" t="shared" si="6" ref="I38:I43">F38+G38+H38</f>
        <v>43326.3</v>
      </c>
      <c r="J38" s="50"/>
      <c r="K38" s="7"/>
      <c r="L38" s="51">
        <f aca="true" t="shared" si="7" ref="L38:L43">I38+J38+K38</f>
        <v>43326.3</v>
      </c>
      <c r="M38" s="50"/>
      <c r="N38" s="7"/>
      <c r="O38" s="51">
        <f aca="true" t="shared" si="8" ref="O38:O43">L38+M38+N38</f>
        <v>43326.3</v>
      </c>
      <c r="P38" s="129"/>
      <c r="Q38" s="127">
        <f t="shared" si="0"/>
        <v>43326.3</v>
      </c>
    </row>
    <row r="39" spans="1:17" ht="12.75">
      <c r="A39" s="70" t="s">
        <v>184</v>
      </c>
      <c r="B39" s="160"/>
      <c r="C39" s="184">
        <v>8354.5</v>
      </c>
      <c r="D39" s="182"/>
      <c r="E39" s="182"/>
      <c r="F39" s="183">
        <f t="shared" si="2"/>
        <v>8354.5</v>
      </c>
      <c r="G39" s="228"/>
      <c r="H39" s="7"/>
      <c r="I39" s="51">
        <f t="shared" si="6"/>
        <v>8354.5</v>
      </c>
      <c r="J39" s="50"/>
      <c r="K39" s="7"/>
      <c r="L39" s="51">
        <f t="shared" si="7"/>
        <v>8354.5</v>
      </c>
      <c r="M39" s="50"/>
      <c r="N39" s="7"/>
      <c r="O39" s="51">
        <f t="shared" si="8"/>
        <v>8354.5</v>
      </c>
      <c r="P39" s="129"/>
      <c r="Q39" s="127">
        <f t="shared" si="0"/>
        <v>8354.5</v>
      </c>
    </row>
    <row r="40" spans="1:17" ht="12.75">
      <c r="A40" s="69" t="s">
        <v>29</v>
      </c>
      <c r="B40" s="159"/>
      <c r="C40" s="184">
        <v>22167</v>
      </c>
      <c r="D40" s="182"/>
      <c r="E40" s="182">
        <v>1800</v>
      </c>
      <c r="F40" s="183">
        <f t="shared" si="2"/>
        <v>23967</v>
      </c>
      <c r="G40" s="228"/>
      <c r="H40" s="7"/>
      <c r="I40" s="51">
        <f t="shared" si="6"/>
        <v>23967</v>
      </c>
      <c r="J40" s="50"/>
      <c r="K40" s="7"/>
      <c r="L40" s="51">
        <f t="shared" si="7"/>
        <v>23967</v>
      </c>
      <c r="M40" s="50"/>
      <c r="N40" s="7"/>
      <c r="O40" s="51">
        <f t="shared" si="8"/>
        <v>23967</v>
      </c>
      <c r="P40" s="129"/>
      <c r="Q40" s="127">
        <f t="shared" si="0"/>
        <v>23967</v>
      </c>
    </row>
    <row r="41" spans="1:17" ht="12.75">
      <c r="A41" s="70" t="s">
        <v>185</v>
      </c>
      <c r="B41" s="160"/>
      <c r="C41" s="184">
        <v>11173.3</v>
      </c>
      <c r="D41" s="182">
        <f>-1082.4</f>
        <v>-1082.4</v>
      </c>
      <c r="E41" s="182"/>
      <c r="F41" s="183">
        <f t="shared" si="2"/>
        <v>10090.9</v>
      </c>
      <c r="G41" s="228"/>
      <c r="H41" s="7"/>
      <c r="I41" s="51">
        <f t="shared" si="6"/>
        <v>10090.9</v>
      </c>
      <c r="J41" s="50"/>
      <c r="K41" s="7"/>
      <c r="L41" s="51">
        <f t="shared" si="7"/>
        <v>10090.9</v>
      </c>
      <c r="M41" s="50"/>
      <c r="N41" s="7"/>
      <c r="O41" s="51">
        <f t="shared" si="8"/>
        <v>10090.9</v>
      </c>
      <c r="P41" s="129"/>
      <c r="Q41" s="127">
        <f t="shared" si="0"/>
        <v>10090.9</v>
      </c>
    </row>
    <row r="42" spans="1:17" ht="12.75">
      <c r="A42" s="70" t="s">
        <v>286</v>
      </c>
      <c r="B42" s="160"/>
      <c r="C42" s="184">
        <v>350</v>
      </c>
      <c r="D42" s="182"/>
      <c r="E42" s="182"/>
      <c r="F42" s="183">
        <f t="shared" si="2"/>
        <v>350</v>
      </c>
      <c r="G42" s="228"/>
      <c r="H42" s="7"/>
      <c r="I42" s="51">
        <f t="shared" si="6"/>
        <v>350</v>
      </c>
      <c r="J42" s="50"/>
      <c r="K42" s="7"/>
      <c r="L42" s="51">
        <f t="shared" si="7"/>
        <v>350</v>
      </c>
      <c r="M42" s="50"/>
      <c r="N42" s="7"/>
      <c r="O42" s="51">
        <f t="shared" si="8"/>
        <v>350</v>
      </c>
      <c r="P42" s="129"/>
      <c r="Q42" s="127">
        <f t="shared" si="0"/>
        <v>350</v>
      </c>
    </row>
    <row r="43" spans="1:17" ht="12.75">
      <c r="A43" s="70" t="s">
        <v>186</v>
      </c>
      <c r="B43" s="160"/>
      <c r="C43" s="184">
        <v>33696</v>
      </c>
      <c r="D43" s="182"/>
      <c r="E43" s="182"/>
      <c r="F43" s="183">
        <f t="shared" si="2"/>
        <v>33696</v>
      </c>
      <c r="G43" s="228"/>
      <c r="H43" s="7"/>
      <c r="I43" s="51">
        <f t="shared" si="6"/>
        <v>33696</v>
      </c>
      <c r="J43" s="50"/>
      <c r="K43" s="7"/>
      <c r="L43" s="51">
        <f t="shared" si="7"/>
        <v>33696</v>
      </c>
      <c r="M43" s="50"/>
      <c r="N43" s="7"/>
      <c r="O43" s="51">
        <f t="shared" si="8"/>
        <v>33696</v>
      </c>
      <c r="P43" s="129"/>
      <c r="Q43" s="127">
        <f>O43+P43</f>
        <v>33696</v>
      </c>
    </row>
    <row r="44" spans="1:6" ht="12.75">
      <c r="A44" s="70" t="s">
        <v>252</v>
      </c>
      <c r="B44" s="160"/>
      <c r="C44" s="184"/>
      <c r="D44" s="248">
        <f>39.51+246.77+856.59+843.91+8</f>
        <v>1994.7800000000002</v>
      </c>
      <c r="E44" s="182"/>
      <c r="F44" s="183">
        <f t="shared" si="2"/>
        <v>1994.7800000000002</v>
      </c>
    </row>
    <row r="45" spans="1:17" ht="12.75">
      <c r="A45" s="71" t="s">
        <v>303</v>
      </c>
      <c r="B45" s="161"/>
      <c r="C45" s="185">
        <f>SUM(C47:C50)</f>
        <v>15000</v>
      </c>
      <c r="D45" s="186">
        <f>SUM(D47:D50)</f>
        <v>0</v>
      </c>
      <c r="E45" s="186">
        <f>SUM(E47:E50)</f>
        <v>0</v>
      </c>
      <c r="F45" s="187">
        <f>SUM(F47:F50)</f>
        <v>15000</v>
      </c>
      <c r="G45" s="17"/>
      <c r="H45" s="8"/>
      <c r="I45" s="53">
        <f>SUM(I47:I50)</f>
        <v>15000</v>
      </c>
      <c r="J45" s="52"/>
      <c r="K45" s="8"/>
      <c r="L45" s="53">
        <f>SUM(L47:L50)</f>
        <v>15000</v>
      </c>
      <c r="M45" s="52"/>
      <c r="N45" s="8"/>
      <c r="O45" s="53">
        <f>SUM(O47:O50)</f>
        <v>15000</v>
      </c>
      <c r="P45" s="132"/>
      <c r="Q45" s="63">
        <f>SUM(Q47:Q50)</f>
        <v>15000</v>
      </c>
    </row>
    <row r="46" spans="1:17" ht="11.25" customHeight="1">
      <c r="A46" s="68" t="s">
        <v>20</v>
      </c>
      <c r="B46" s="158"/>
      <c r="C46" s="184"/>
      <c r="D46" s="182"/>
      <c r="E46" s="182"/>
      <c r="F46" s="183"/>
      <c r="G46" s="228"/>
      <c r="H46" s="7"/>
      <c r="I46" s="51"/>
      <c r="J46" s="50"/>
      <c r="K46" s="7"/>
      <c r="L46" s="51"/>
      <c r="M46" s="50"/>
      <c r="N46" s="7"/>
      <c r="O46" s="51"/>
      <c r="P46" s="129"/>
      <c r="Q46" s="127"/>
    </row>
    <row r="47" spans="1:17" ht="12.75" hidden="1">
      <c r="A47" s="69" t="s">
        <v>30</v>
      </c>
      <c r="B47" s="159"/>
      <c r="C47" s="184"/>
      <c r="D47" s="182"/>
      <c r="E47" s="182"/>
      <c r="F47" s="183">
        <f>C47+D47+E47</f>
        <v>0</v>
      </c>
      <c r="G47" s="228"/>
      <c r="H47" s="7"/>
      <c r="I47" s="51">
        <f>F47+G47+H47</f>
        <v>0</v>
      </c>
      <c r="J47" s="50"/>
      <c r="K47" s="7"/>
      <c r="L47" s="51">
        <f>I47+J47+K47</f>
        <v>0</v>
      </c>
      <c r="M47" s="50"/>
      <c r="N47" s="7"/>
      <c r="O47" s="51">
        <f>L47+M47+N47</f>
        <v>0</v>
      </c>
      <c r="P47" s="129"/>
      <c r="Q47" s="127">
        <f t="shared" si="0"/>
        <v>0</v>
      </c>
    </row>
    <row r="48" spans="1:17" ht="12.75" hidden="1">
      <c r="A48" s="70" t="s">
        <v>187</v>
      </c>
      <c r="B48" s="160"/>
      <c r="C48" s="184"/>
      <c r="D48" s="182"/>
      <c r="E48" s="182"/>
      <c r="F48" s="183">
        <f>C48+D48+E48</f>
        <v>0</v>
      </c>
      <c r="G48" s="228"/>
      <c r="H48" s="7"/>
      <c r="I48" s="51">
        <f>F48+G48+H48</f>
        <v>0</v>
      </c>
      <c r="J48" s="65"/>
      <c r="K48" s="7"/>
      <c r="L48" s="51">
        <f>I48+J48+K48</f>
        <v>0</v>
      </c>
      <c r="M48" s="65"/>
      <c r="N48" s="7"/>
      <c r="O48" s="51">
        <f>L48+M48+N48</f>
        <v>0</v>
      </c>
      <c r="P48" s="129"/>
      <c r="Q48" s="127">
        <f t="shared" si="0"/>
        <v>0</v>
      </c>
    </row>
    <row r="49" spans="1:17" ht="12.75">
      <c r="A49" s="70" t="s">
        <v>253</v>
      </c>
      <c r="B49" s="160"/>
      <c r="C49" s="184">
        <v>15000</v>
      </c>
      <c r="D49" s="182"/>
      <c r="E49" s="182"/>
      <c r="F49" s="183">
        <f>C49+D49+E49</f>
        <v>15000</v>
      </c>
      <c r="G49" s="228"/>
      <c r="H49" s="7"/>
      <c r="I49" s="51">
        <f>F49+G49+H49</f>
        <v>15000</v>
      </c>
      <c r="J49" s="65"/>
      <c r="K49" s="7"/>
      <c r="L49" s="51">
        <f>I49+J49+K49</f>
        <v>15000</v>
      </c>
      <c r="M49" s="65"/>
      <c r="N49" s="7"/>
      <c r="O49" s="51">
        <f>L49+M49+N49</f>
        <v>15000</v>
      </c>
      <c r="P49" s="129"/>
      <c r="Q49" s="127">
        <f t="shared" si="0"/>
        <v>15000</v>
      </c>
    </row>
    <row r="50" spans="1:17" ht="12.75" hidden="1">
      <c r="A50" s="69" t="s">
        <v>31</v>
      </c>
      <c r="B50" s="159"/>
      <c r="C50" s="184"/>
      <c r="D50" s="182"/>
      <c r="E50" s="182"/>
      <c r="F50" s="183">
        <f>C50+D50+E50</f>
        <v>0</v>
      </c>
      <c r="G50" s="228"/>
      <c r="H50" s="7"/>
      <c r="I50" s="51">
        <f>F50+G50+H50</f>
        <v>0</v>
      </c>
      <c r="J50" s="50"/>
      <c r="K50" s="7"/>
      <c r="L50" s="51">
        <f>I50+J50+K50</f>
        <v>0</v>
      </c>
      <c r="M50" s="50"/>
      <c r="N50" s="7"/>
      <c r="O50" s="51">
        <f>L50+M50+N50</f>
        <v>0</v>
      </c>
      <c r="P50" s="129"/>
      <c r="Q50" s="127">
        <f t="shared" si="0"/>
        <v>0</v>
      </c>
    </row>
    <row r="51" spans="1:17" ht="12.75">
      <c r="A51" s="71" t="s">
        <v>304</v>
      </c>
      <c r="B51" s="159"/>
      <c r="C51" s="184"/>
      <c r="D51" s="182"/>
      <c r="E51" s="182"/>
      <c r="F51" s="183"/>
      <c r="G51" s="228"/>
      <c r="H51" s="7"/>
      <c r="I51" s="51"/>
      <c r="J51" s="50"/>
      <c r="K51" s="7"/>
      <c r="L51" s="51"/>
      <c r="M51" s="50"/>
      <c r="N51" s="7"/>
      <c r="O51" s="51"/>
      <c r="P51" s="129"/>
      <c r="Q51" s="127"/>
    </row>
    <row r="52" spans="1:17" ht="12.75">
      <c r="A52" s="67" t="s">
        <v>32</v>
      </c>
      <c r="B52" s="157"/>
      <c r="C52" s="179">
        <f>SUM(C54:C73)</f>
        <v>79947.4</v>
      </c>
      <c r="D52" s="180">
        <f>SUM(D54:D73)</f>
        <v>5755826.28</v>
      </c>
      <c r="E52" s="180">
        <f>SUM(E54:E73)</f>
        <v>0</v>
      </c>
      <c r="F52" s="181">
        <f>SUM(F54:F73)</f>
        <v>5835773.680000001</v>
      </c>
      <c r="G52" s="227"/>
      <c r="H52" s="6"/>
      <c r="I52" s="49">
        <f>SUM(I54:I72)</f>
        <v>5833638.300000001</v>
      </c>
      <c r="J52" s="48"/>
      <c r="K52" s="6"/>
      <c r="L52" s="49">
        <f>SUM(L54:L73)</f>
        <v>5833638.300000001</v>
      </c>
      <c r="M52" s="48"/>
      <c r="N52" s="6"/>
      <c r="O52" s="49">
        <f>SUM(O54:O73)</f>
        <v>5833638.300000001</v>
      </c>
      <c r="P52" s="130"/>
      <c r="Q52" s="107">
        <f>SUM(Q54:Q73)</f>
        <v>5833638.300000001</v>
      </c>
    </row>
    <row r="53" spans="1:17" ht="10.5" customHeight="1">
      <c r="A53" s="72" t="s">
        <v>33</v>
      </c>
      <c r="B53" s="162"/>
      <c r="C53" s="184"/>
      <c r="D53" s="182"/>
      <c r="E53" s="182"/>
      <c r="F53" s="183"/>
      <c r="G53" s="228"/>
      <c r="H53" s="7"/>
      <c r="I53" s="51"/>
      <c r="J53" s="50"/>
      <c r="K53" s="7"/>
      <c r="L53" s="51"/>
      <c r="M53" s="50"/>
      <c r="N53" s="7"/>
      <c r="O53" s="51"/>
      <c r="P53" s="129"/>
      <c r="Q53" s="127"/>
    </row>
    <row r="54" spans="1:17" ht="12.75">
      <c r="A54" s="70" t="s">
        <v>34</v>
      </c>
      <c r="B54" s="160"/>
      <c r="C54" s="184">
        <v>79697.4</v>
      </c>
      <c r="D54" s="182"/>
      <c r="E54" s="182"/>
      <c r="F54" s="183">
        <f aca="true" t="shared" si="9" ref="F54:F73">C54+D54+E54</f>
        <v>79697.4</v>
      </c>
      <c r="G54" s="228"/>
      <c r="H54" s="7"/>
      <c r="I54" s="51">
        <f>F54+G54+H54</f>
        <v>79697.4</v>
      </c>
      <c r="J54" s="50"/>
      <c r="K54" s="7"/>
      <c r="L54" s="51">
        <f>I54+J54+K54</f>
        <v>79697.4</v>
      </c>
      <c r="M54" s="50"/>
      <c r="N54" s="7"/>
      <c r="O54" s="51">
        <f>L54+M54+N54</f>
        <v>79697.4</v>
      </c>
      <c r="P54" s="129"/>
      <c r="Q54" s="127">
        <f t="shared" si="0"/>
        <v>79697.4</v>
      </c>
    </row>
    <row r="55" spans="1:17" ht="12.75">
      <c r="A55" s="70" t="s">
        <v>35</v>
      </c>
      <c r="B55" s="160"/>
      <c r="C55" s="184"/>
      <c r="D55" s="182">
        <f>43.5+176.59+186.8</f>
        <v>406.89</v>
      </c>
      <c r="E55" s="182"/>
      <c r="F55" s="183">
        <f t="shared" si="9"/>
        <v>406.89</v>
      </c>
      <c r="G55" s="228"/>
      <c r="H55" s="7"/>
      <c r="I55" s="51">
        <f aca="true" t="shared" si="10" ref="I55:I72">F55+G55+H55</f>
        <v>406.89</v>
      </c>
      <c r="J55" s="50"/>
      <c r="K55" s="7"/>
      <c r="L55" s="51">
        <f aca="true" t="shared" si="11" ref="L55:L73">I55+J55+K55</f>
        <v>406.89</v>
      </c>
      <c r="M55" s="50"/>
      <c r="N55" s="7"/>
      <c r="O55" s="51">
        <f aca="true" t="shared" si="12" ref="O55:O73">L55+M55+N55</f>
        <v>406.89</v>
      </c>
      <c r="P55" s="129"/>
      <c r="Q55" s="127">
        <f t="shared" si="0"/>
        <v>406.89</v>
      </c>
    </row>
    <row r="56" spans="1:17" ht="12.75">
      <c r="A56" s="70" t="s">
        <v>36</v>
      </c>
      <c r="B56" s="160"/>
      <c r="C56" s="184"/>
      <c r="D56" s="182">
        <f>1373+5045968.66+61775.7+8921.07+363.12+8587.89+256.1+984+5144.59+7762.19+8844.48+17565.21+149.6</f>
        <v>5167695.61</v>
      </c>
      <c r="E56" s="182"/>
      <c r="F56" s="183">
        <f t="shared" si="9"/>
        <v>5167695.61</v>
      </c>
      <c r="G56" s="228"/>
      <c r="H56" s="7"/>
      <c r="I56" s="51">
        <f t="shared" si="10"/>
        <v>5167695.61</v>
      </c>
      <c r="J56" s="50"/>
      <c r="K56" s="7"/>
      <c r="L56" s="51">
        <f t="shared" si="11"/>
        <v>5167695.61</v>
      </c>
      <c r="M56" s="50"/>
      <c r="N56" s="7"/>
      <c r="O56" s="51">
        <f t="shared" si="12"/>
        <v>5167695.61</v>
      </c>
      <c r="P56" s="129"/>
      <c r="Q56" s="127">
        <f t="shared" si="0"/>
        <v>5167695.61</v>
      </c>
    </row>
    <row r="57" spans="1:17" ht="12.75">
      <c r="A57" s="70" t="s">
        <v>37</v>
      </c>
      <c r="B57" s="160"/>
      <c r="C57" s="184"/>
      <c r="D57" s="182">
        <f>485940+2500+94024.14+2252.06</f>
        <v>584716.2000000001</v>
      </c>
      <c r="E57" s="182"/>
      <c r="F57" s="183">
        <f t="shared" si="9"/>
        <v>584716.2000000001</v>
      </c>
      <c r="G57" s="228"/>
      <c r="H57" s="7"/>
      <c r="I57" s="51">
        <f t="shared" si="10"/>
        <v>584716.2000000001</v>
      </c>
      <c r="J57" s="50"/>
      <c r="K57" s="7"/>
      <c r="L57" s="51">
        <f t="shared" si="11"/>
        <v>584716.2000000001</v>
      </c>
      <c r="M57" s="50"/>
      <c r="N57" s="7"/>
      <c r="O57" s="51">
        <f t="shared" si="12"/>
        <v>584716.2000000001</v>
      </c>
      <c r="P57" s="129"/>
      <c r="Q57" s="127">
        <f t="shared" si="0"/>
        <v>584716.2000000001</v>
      </c>
    </row>
    <row r="58" spans="1:17" ht="12.75">
      <c r="A58" s="70" t="s">
        <v>38</v>
      </c>
      <c r="B58" s="160"/>
      <c r="C58" s="184"/>
      <c r="D58" s="182">
        <f>44.83+27.24+728.31+27.1+44.72</f>
        <v>872.1999999999999</v>
      </c>
      <c r="E58" s="182"/>
      <c r="F58" s="183">
        <f t="shared" si="9"/>
        <v>872.1999999999999</v>
      </c>
      <c r="G58" s="228"/>
      <c r="H58" s="7"/>
      <c r="I58" s="51">
        <f t="shared" si="10"/>
        <v>872.1999999999999</v>
      </c>
      <c r="J58" s="50"/>
      <c r="K58" s="7"/>
      <c r="L58" s="51">
        <f t="shared" si="11"/>
        <v>872.1999999999999</v>
      </c>
      <c r="M58" s="50"/>
      <c r="N58" s="7"/>
      <c r="O58" s="51">
        <f t="shared" si="12"/>
        <v>872.1999999999999</v>
      </c>
      <c r="P58" s="129"/>
      <c r="Q58" s="127">
        <f t="shared" si="0"/>
        <v>872.1999999999999</v>
      </c>
    </row>
    <row r="59" spans="1:17" ht="12.75" hidden="1">
      <c r="A59" s="70" t="s">
        <v>39</v>
      </c>
      <c r="B59" s="160"/>
      <c r="C59" s="184"/>
      <c r="D59" s="182"/>
      <c r="E59" s="182"/>
      <c r="F59" s="183">
        <f t="shared" si="9"/>
        <v>0</v>
      </c>
      <c r="G59" s="228"/>
      <c r="H59" s="7"/>
      <c r="I59" s="51">
        <f t="shared" si="10"/>
        <v>0</v>
      </c>
      <c r="J59" s="50"/>
      <c r="K59" s="7"/>
      <c r="L59" s="51">
        <f t="shared" si="11"/>
        <v>0</v>
      </c>
      <c r="M59" s="50"/>
      <c r="N59" s="7"/>
      <c r="O59" s="51">
        <f t="shared" si="12"/>
        <v>0</v>
      </c>
      <c r="P59" s="129"/>
      <c r="Q59" s="127">
        <f t="shared" si="0"/>
        <v>0</v>
      </c>
    </row>
    <row r="60" spans="1:17" ht="12.75" hidden="1">
      <c r="A60" s="70" t="s">
        <v>40</v>
      </c>
      <c r="B60" s="160"/>
      <c r="C60" s="184"/>
      <c r="D60" s="182"/>
      <c r="E60" s="182"/>
      <c r="F60" s="183">
        <f t="shared" si="9"/>
        <v>0</v>
      </c>
      <c r="G60" s="228"/>
      <c r="H60" s="7"/>
      <c r="I60" s="51">
        <f t="shared" si="10"/>
        <v>0</v>
      </c>
      <c r="J60" s="50"/>
      <c r="K60" s="7"/>
      <c r="L60" s="51">
        <f t="shared" si="11"/>
        <v>0</v>
      </c>
      <c r="M60" s="50"/>
      <c r="N60" s="7"/>
      <c r="O60" s="51">
        <f t="shared" si="12"/>
        <v>0</v>
      </c>
      <c r="P60" s="129"/>
      <c r="Q60" s="127">
        <f t="shared" si="0"/>
        <v>0</v>
      </c>
    </row>
    <row r="61" spans="1:17" ht="12.75" hidden="1">
      <c r="A61" s="70" t="s">
        <v>41</v>
      </c>
      <c r="B61" s="160"/>
      <c r="C61" s="184"/>
      <c r="D61" s="182"/>
      <c r="E61" s="182"/>
      <c r="F61" s="183">
        <f t="shared" si="9"/>
        <v>0</v>
      </c>
      <c r="G61" s="228"/>
      <c r="H61" s="7"/>
      <c r="I61" s="51">
        <f t="shared" si="10"/>
        <v>0</v>
      </c>
      <c r="J61" s="50"/>
      <c r="K61" s="7"/>
      <c r="L61" s="51">
        <f t="shared" si="11"/>
        <v>0</v>
      </c>
      <c r="M61" s="50"/>
      <c r="N61" s="7"/>
      <c r="O61" s="51">
        <f t="shared" si="12"/>
        <v>0</v>
      </c>
      <c r="P61" s="129"/>
      <c r="Q61" s="127">
        <f t="shared" si="0"/>
        <v>0</v>
      </c>
    </row>
    <row r="62" spans="1:17" ht="12.75" hidden="1">
      <c r="A62" s="70" t="s">
        <v>167</v>
      </c>
      <c r="B62" s="160"/>
      <c r="C62" s="184"/>
      <c r="D62" s="182"/>
      <c r="E62" s="182"/>
      <c r="F62" s="183">
        <f t="shared" si="9"/>
        <v>0</v>
      </c>
      <c r="G62" s="228"/>
      <c r="H62" s="7"/>
      <c r="I62" s="51">
        <f t="shared" si="10"/>
        <v>0</v>
      </c>
      <c r="J62" s="50"/>
      <c r="K62" s="7"/>
      <c r="L62" s="51">
        <f t="shared" si="11"/>
        <v>0</v>
      </c>
      <c r="M62" s="50"/>
      <c r="N62" s="7"/>
      <c r="O62" s="51">
        <f t="shared" si="12"/>
        <v>0</v>
      </c>
      <c r="P62" s="129"/>
      <c r="Q62" s="127">
        <f t="shared" si="0"/>
        <v>0</v>
      </c>
    </row>
    <row r="63" spans="1:17" ht="12.75">
      <c r="A63" s="70" t="s">
        <v>192</v>
      </c>
      <c r="B63" s="160"/>
      <c r="C63" s="184"/>
      <c r="D63" s="182">
        <f>2135.38</f>
        <v>2135.38</v>
      </c>
      <c r="E63" s="182"/>
      <c r="F63" s="183">
        <f t="shared" si="9"/>
        <v>2135.38</v>
      </c>
      <c r="G63" s="228"/>
      <c r="H63" s="7"/>
      <c r="I63" s="51"/>
      <c r="J63" s="50"/>
      <c r="K63" s="7"/>
      <c r="L63" s="51"/>
      <c r="M63" s="50"/>
      <c r="N63" s="7"/>
      <c r="O63" s="51">
        <f t="shared" si="12"/>
        <v>0</v>
      </c>
      <c r="P63" s="129"/>
      <c r="Q63" s="127">
        <f t="shared" si="0"/>
        <v>0</v>
      </c>
    </row>
    <row r="64" spans="1:17" ht="12.75" hidden="1">
      <c r="A64" s="70" t="s">
        <v>42</v>
      </c>
      <c r="B64" s="160"/>
      <c r="C64" s="184"/>
      <c r="D64" s="182"/>
      <c r="E64" s="182"/>
      <c r="F64" s="183">
        <f t="shared" si="9"/>
        <v>0</v>
      </c>
      <c r="G64" s="228"/>
      <c r="H64" s="7"/>
      <c r="I64" s="51">
        <f t="shared" si="10"/>
        <v>0</v>
      </c>
      <c r="J64" s="50"/>
      <c r="K64" s="7"/>
      <c r="L64" s="51">
        <f t="shared" si="11"/>
        <v>0</v>
      </c>
      <c r="M64" s="50"/>
      <c r="N64" s="7"/>
      <c r="O64" s="51">
        <f t="shared" si="12"/>
        <v>0</v>
      </c>
      <c r="P64" s="144"/>
      <c r="Q64" s="127">
        <f t="shared" si="0"/>
        <v>0</v>
      </c>
    </row>
    <row r="65" spans="1:17" ht="12.75" hidden="1">
      <c r="A65" s="70" t="s">
        <v>43</v>
      </c>
      <c r="B65" s="160"/>
      <c r="C65" s="184"/>
      <c r="D65" s="182"/>
      <c r="E65" s="182"/>
      <c r="F65" s="183">
        <f t="shared" si="9"/>
        <v>0</v>
      </c>
      <c r="G65" s="228"/>
      <c r="H65" s="7"/>
      <c r="I65" s="51">
        <f t="shared" si="10"/>
        <v>0</v>
      </c>
      <c r="J65" s="65"/>
      <c r="K65" s="7"/>
      <c r="L65" s="51">
        <f t="shared" si="11"/>
        <v>0</v>
      </c>
      <c r="M65" s="50"/>
      <c r="N65" s="7"/>
      <c r="O65" s="51">
        <f t="shared" si="12"/>
        <v>0</v>
      </c>
      <c r="P65" s="129"/>
      <c r="Q65" s="127">
        <f t="shared" si="0"/>
        <v>0</v>
      </c>
    </row>
    <row r="66" spans="1:17" ht="12.75" hidden="1">
      <c r="A66" s="70" t="s">
        <v>265</v>
      </c>
      <c r="B66" s="160"/>
      <c r="C66" s="184"/>
      <c r="D66" s="182"/>
      <c r="E66" s="182"/>
      <c r="F66" s="183">
        <f t="shared" si="9"/>
        <v>0</v>
      </c>
      <c r="G66" s="228"/>
      <c r="H66" s="7"/>
      <c r="I66" s="51"/>
      <c r="J66" s="65"/>
      <c r="K66" s="7"/>
      <c r="L66" s="51"/>
      <c r="M66" s="50"/>
      <c r="N66" s="7"/>
      <c r="O66" s="51"/>
      <c r="P66" s="129"/>
      <c r="Q66" s="127"/>
    </row>
    <row r="67" spans="1:17" ht="12.75" hidden="1">
      <c r="A67" s="70" t="s">
        <v>193</v>
      </c>
      <c r="B67" s="160"/>
      <c r="C67" s="184"/>
      <c r="D67" s="182"/>
      <c r="E67" s="182"/>
      <c r="F67" s="183">
        <f t="shared" si="9"/>
        <v>0</v>
      </c>
      <c r="G67" s="228"/>
      <c r="H67" s="7"/>
      <c r="I67" s="51"/>
      <c r="J67" s="65"/>
      <c r="K67" s="7"/>
      <c r="L67" s="51"/>
      <c r="M67" s="50"/>
      <c r="N67" s="7"/>
      <c r="O67" s="51">
        <f t="shared" si="12"/>
        <v>0</v>
      </c>
      <c r="P67" s="129"/>
      <c r="Q67" s="127">
        <f t="shared" si="0"/>
        <v>0</v>
      </c>
    </row>
    <row r="68" spans="1:17" ht="12.75" hidden="1">
      <c r="A68" s="70" t="s">
        <v>44</v>
      </c>
      <c r="B68" s="160"/>
      <c r="C68" s="184"/>
      <c r="D68" s="182"/>
      <c r="E68" s="182"/>
      <c r="F68" s="183">
        <f t="shared" si="9"/>
        <v>0</v>
      </c>
      <c r="G68" s="228"/>
      <c r="H68" s="7"/>
      <c r="I68" s="51">
        <f t="shared" si="10"/>
        <v>0</v>
      </c>
      <c r="J68" s="50"/>
      <c r="K68" s="7"/>
      <c r="L68" s="51">
        <f t="shared" si="11"/>
        <v>0</v>
      </c>
      <c r="M68" s="50"/>
      <c r="N68" s="7"/>
      <c r="O68" s="51">
        <f t="shared" si="12"/>
        <v>0</v>
      </c>
      <c r="P68" s="129"/>
      <c r="Q68" s="127">
        <f t="shared" si="0"/>
        <v>0</v>
      </c>
    </row>
    <row r="69" spans="1:17" ht="12.75" hidden="1">
      <c r="A69" s="70" t="s">
        <v>55</v>
      </c>
      <c r="B69" s="160"/>
      <c r="C69" s="184"/>
      <c r="D69" s="182"/>
      <c r="E69" s="182"/>
      <c r="F69" s="183">
        <f t="shared" si="9"/>
        <v>0</v>
      </c>
      <c r="G69" s="228"/>
      <c r="H69" s="7"/>
      <c r="I69" s="51">
        <f t="shared" si="10"/>
        <v>0</v>
      </c>
      <c r="J69" s="50"/>
      <c r="K69" s="7"/>
      <c r="L69" s="51">
        <f t="shared" si="11"/>
        <v>0</v>
      </c>
      <c r="M69" s="50"/>
      <c r="N69" s="7"/>
      <c r="O69" s="51">
        <f t="shared" si="12"/>
        <v>0</v>
      </c>
      <c r="P69" s="129"/>
      <c r="Q69" s="127">
        <f t="shared" si="0"/>
        <v>0</v>
      </c>
    </row>
    <row r="70" spans="1:17" ht="12.75" hidden="1">
      <c r="A70" s="70" t="s">
        <v>45</v>
      </c>
      <c r="B70" s="160"/>
      <c r="C70" s="184"/>
      <c r="D70" s="182"/>
      <c r="E70" s="182"/>
      <c r="F70" s="183">
        <f t="shared" si="9"/>
        <v>0</v>
      </c>
      <c r="G70" s="228"/>
      <c r="H70" s="7"/>
      <c r="I70" s="51">
        <f t="shared" si="10"/>
        <v>0</v>
      </c>
      <c r="J70" s="50"/>
      <c r="K70" s="7"/>
      <c r="L70" s="51">
        <f t="shared" si="11"/>
        <v>0</v>
      </c>
      <c r="M70" s="50"/>
      <c r="N70" s="7"/>
      <c r="O70" s="51">
        <f t="shared" si="12"/>
        <v>0</v>
      </c>
      <c r="P70" s="129"/>
      <c r="Q70" s="127">
        <f t="shared" si="0"/>
        <v>0</v>
      </c>
    </row>
    <row r="71" spans="1:17" ht="12.75" hidden="1">
      <c r="A71" s="70" t="s">
        <v>46</v>
      </c>
      <c r="B71" s="160"/>
      <c r="C71" s="184"/>
      <c r="D71" s="182"/>
      <c r="E71" s="182"/>
      <c r="F71" s="183">
        <f t="shared" si="9"/>
        <v>0</v>
      </c>
      <c r="G71" s="228"/>
      <c r="H71" s="7"/>
      <c r="I71" s="51">
        <f t="shared" si="10"/>
        <v>0</v>
      </c>
      <c r="J71" s="50"/>
      <c r="K71" s="7"/>
      <c r="L71" s="51">
        <f t="shared" si="11"/>
        <v>0</v>
      </c>
      <c r="M71" s="50"/>
      <c r="N71" s="7"/>
      <c r="O71" s="51">
        <f t="shared" si="12"/>
        <v>0</v>
      </c>
      <c r="P71" s="129"/>
      <c r="Q71" s="127">
        <f t="shared" si="0"/>
        <v>0</v>
      </c>
    </row>
    <row r="72" spans="1:17" ht="12.75">
      <c r="A72" s="70" t="s">
        <v>47</v>
      </c>
      <c r="B72" s="160"/>
      <c r="C72" s="184">
        <v>250</v>
      </c>
      <c r="D72" s="182"/>
      <c r="E72" s="182"/>
      <c r="F72" s="183">
        <f t="shared" si="9"/>
        <v>250</v>
      </c>
      <c r="G72" s="228"/>
      <c r="H72" s="7"/>
      <c r="I72" s="51">
        <f t="shared" si="10"/>
        <v>250</v>
      </c>
      <c r="J72" s="50"/>
      <c r="K72" s="7"/>
      <c r="L72" s="51">
        <f t="shared" si="11"/>
        <v>250</v>
      </c>
      <c r="M72" s="50"/>
      <c r="N72" s="7"/>
      <c r="O72" s="51">
        <f t="shared" si="12"/>
        <v>250</v>
      </c>
      <c r="P72" s="129"/>
      <c r="Q72" s="127">
        <f t="shared" si="0"/>
        <v>250</v>
      </c>
    </row>
    <row r="73" spans="1:17" ht="12.75" hidden="1">
      <c r="A73" s="70" t="s">
        <v>201</v>
      </c>
      <c r="B73" s="160"/>
      <c r="C73" s="184"/>
      <c r="D73" s="182"/>
      <c r="E73" s="182"/>
      <c r="F73" s="183">
        <f t="shared" si="9"/>
        <v>0</v>
      </c>
      <c r="G73" s="228"/>
      <c r="H73" s="7"/>
      <c r="I73" s="51"/>
      <c r="J73" s="50"/>
      <c r="K73" s="7"/>
      <c r="L73" s="51">
        <f t="shared" si="11"/>
        <v>0</v>
      </c>
      <c r="M73" s="50"/>
      <c r="N73" s="7"/>
      <c r="O73" s="51">
        <f t="shared" si="12"/>
        <v>0</v>
      </c>
      <c r="P73" s="129"/>
      <c r="Q73" s="127">
        <f t="shared" si="0"/>
        <v>0</v>
      </c>
    </row>
    <row r="74" spans="1:17" ht="12.75" hidden="1">
      <c r="A74" s="71" t="s">
        <v>48</v>
      </c>
      <c r="B74" s="161"/>
      <c r="C74" s="244">
        <f>SUM(C76:C78)</f>
        <v>0</v>
      </c>
      <c r="D74" s="186">
        <f>SUM(D76:D78)</f>
        <v>0</v>
      </c>
      <c r="E74" s="186">
        <f>SUM(E76:E78)</f>
        <v>0</v>
      </c>
      <c r="F74" s="187">
        <f>SUM(F76:F78)</f>
        <v>0</v>
      </c>
      <c r="G74" s="17"/>
      <c r="H74" s="8"/>
      <c r="I74" s="53">
        <f>SUM(I76:I78)</f>
        <v>0</v>
      </c>
      <c r="J74" s="52"/>
      <c r="K74" s="8"/>
      <c r="L74" s="53">
        <f>SUM(L76:L78)</f>
        <v>0</v>
      </c>
      <c r="M74" s="52"/>
      <c r="N74" s="8"/>
      <c r="O74" s="53">
        <f>SUM(O76:O78)</f>
        <v>0</v>
      </c>
      <c r="P74" s="132"/>
      <c r="Q74" s="63">
        <f>SUM(Q76:Q78)</f>
        <v>0</v>
      </c>
    </row>
    <row r="75" spans="1:17" ht="12.75" hidden="1">
      <c r="A75" s="68" t="s">
        <v>33</v>
      </c>
      <c r="B75" s="158"/>
      <c r="C75" s="184"/>
      <c r="D75" s="182"/>
      <c r="E75" s="182"/>
      <c r="F75" s="183"/>
      <c r="G75" s="228"/>
      <c r="H75" s="7"/>
      <c r="I75" s="51"/>
      <c r="J75" s="50"/>
      <c r="K75" s="7"/>
      <c r="L75" s="51"/>
      <c r="M75" s="50"/>
      <c r="N75" s="7"/>
      <c r="O75" s="51">
        <f>L75+M75+N75</f>
        <v>0</v>
      </c>
      <c r="P75" s="129"/>
      <c r="Q75" s="127"/>
    </row>
    <row r="76" spans="1:17" ht="12.75" hidden="1">
      <c r="A76" s="70" t="s">
        <v>49</v>
      </c>
      <c r="B76" s="160"/>
      <c r="C76" s="184"/>
      <c r="D76" s="182"/>
      <c r="E76" s="182"/>
      <c r="F76" s="183">
        <f>C76+D76+E76</f>
        <v>0</v>
      </c>
      <c r="G76" s="228"/>
      <c r="H76" s="7"/>
      <c r="I76" s="51">
        <f>F76+G76+H76</f>
        <v>0</v>
      </c>
      <c r="J76" s="50"/>
      <c r="K76" s="7"/>
      <c r="L76" s="51">
        <f>I76+J76+K76</f>
        <v>0</v>
      </c>
      <c r="M76" s="50"/>
      <c r="N76" s="7"/>
      <c r="O76" s="51">
        <f>L76+M76+N76</f>
        <v>0</v>
      </c>
      <c r="P76" s="129"/>
      <c r="Q76" s="127">
        <f t="shared" si="0"/>
        <v>0</v>
      </c>
    </row>
    <row r="77" spans="1:17" ht="12.75" hidden="1">
      <c r="A77" s="70" t="s">
        <v>50</v>
      </c>
      <c r="B77" s="160"/>
      <c r="C77" s="184"/>
      <c r="D77" s="182"/>
      <c r="E77" s="182"/>
      <c r="F77" s="183">
        <f>C77+D77+E77</f>
        <v>0</v>
      </c>
      <c r="G77" s="228"/>
      <c r="H77" s="7"/>
      <c r="I77" s="51">
        <f>F77+G77+H77</f>
        <v>0</v>
      </c>
      <c r="J77" s="50"/>
      <c r="K77" s="7"/>
      <c r="L77" s="51">
        <f>I77+J77+K77</f>
        <v>0</v>
      </c>
      <c r="M77" s="50"/>
      <c r="N77" s="7"/>
      <c r="O77" s="51">
        <f>L77+M77+N77</f>
        <v>0</v>
      </c>
      <c r="P77" s="129"/>
      <c r="Q77" s="127">
        <f t="shared" si="0"/>
        <v>0</v>
      </c>
    </row>
    <row r="78" spans="1:17" ht="12.75" hidden="1">
      <c r="A78" s="70" t="s">
        <v>51</v>
      </c>
      <c r="B78" s="160"/>
      <c r="C78" s="184"/>
      <c r="D78" s="182"/>
      <c r="E78" s="182"/>
      <c r="F78" s="183">
        <f>C78+D78+E78</f>
        <v>0</v>
      </c>
      <c r="G78" s="228"/>
      <c r="H78" s="7"/>
      <c r="I78" s="51">
        <f>F78+G78+H78</f>
        <v>0</v>
      </c>
      <c r="J78" s="50"/>
      <c r="K78" s="7"/>
      <c r="L78" s="51">
        <f>I78+J78+K78</f>
        <v>0</v>
      </c>
      <c r="M78" s="50"/>
      <c r="N78" s="7"/>
      <c r="O78" s="51">
        <f>L78+M78+N78</f>
        <v>0</v>
      </c>
      <c r="P78" s="129"/>
      <c r="Q78" s="127">
        <f t="shared" si="0"/>
        <v>0</v>
      </c>
    </row>
    <row r="79" spans="1:17" ht="12.75">
      <c r="A79" s="67" t="s">
        <v>52</v>
      </c>
      <c r="B79" s="157"/>
      <c r="C79" s="179">
        <f>SUM(C81:C93)</f>
        <v>0</v>
      </c>
      <c r="D79" s="180">
        <f>SUM(D81:D93)</f>
        <v>145142.7</v>
      </c>
      <c r="E79" s="180">
        <f>SUM(E81:E93)</f>
        <v>0</v>
      </c>
      <c r="F79" s="181">
        <f>SUM(F81:F93)</f>
        <v>145142.7</v>
      </c>
      <c r="G79" s="227"/>
      <c r="H79" s="6"/>
      <c r="I79" s="49">
        <f>SUM(I81:I93)</f>
        <v>145142.7</v>
      </c>
      <c r="J79" s="48"/>
      <c r="K79" s="6"/>
      <c r="L79" s="49">
        <f>SUM(L81:L93)</f>
        <v>145142.7</v>
      </c>
      <c r="M79" s="48"/>
      <c r="N79" s="6"/>
      <c r="O79" s="49">
        <f>SUM(O81:O93)</f>
        <v>145142.7</v>
      </c>
      <c r="P79" s="130"/>
      <c r="Q79" s="107">
        <f>SUM(Q81:Q93)</f>
        <v>145142.7</v>
      </c>
    </row>
    <row r="80" spans="1:17" ht="12.75">
      <c r="A80" s="72" t="s">
        <v>33</v>
      </c>
      <c r="B80" s="162"/>
      <c r="C80" s="184"/>
      <c r="D80" s="182"/>
      <c r="E80" s="182"/>
      <c r="F80" s="183"/>
      <c r="G80" s="228"/>
      <c r="H80" s="7"/>
      <c r="I80" s="51"/>
      <c r="J80" s="50"/>
      <c r="K80" s="7"/>
      <c r="L80" s="51"/>
      <c r="M80" s="50"/>
      <c r="N80" s="7"/>
      <c r="O80" s="51"/>
      <c r="P80" s="129"/>
      <c r="Q80" s="127"/>
    </row>
    <row r="81" spans="1:17" ht="12.75" hidden="1">
      <c r="A81" s="70" t="s">
        <v>36</v>
      </c>
      <c r="B81" s="160"/>
      <c r="C81" s="184"/>
      <c r="D81" s="182"/>
      <c r="E81" s="182"/>
      <c r="F81" s="183">
        <f aca="true" t="shared" si="13" ref="F81:F93">C81+D81+E81</f>
        <v>0</v>
      </c>
      <c r="G81" s="228"/>
      <c r="H81" s="7"/>
      <c r="I81" s="51">
        <f>F81+G81+H81</f>
        <v>0</v>
      </c>
      <c r="J81" s="50"/>
      <c r="K81" s="7"/>
      <c r="L81" s="51">
        <f>I81+J81+K81</f>
        <v>0</v>
      </c>
      <c r="M81" s="50"/>
      <c r="N81" s="7"/>
      <c r="O81" s="51">
        <f>L81+M81+N81</f>
        <v>0</v>
      </c>
      <c r="P81" s="129"/>
      <c r="Q81" s="127">
        <f t="shared" si="0"/>
        <v>0</v>
      </c>
    </row>
    <row r="82" spans="1:17" ht="12.75" hidden="1">
      <c r="A82" s="74" t="s">
        <v>37</v>
      </c>
      <c r="B82" s="163"/>
      <c r="C82" s="184"/>
      <c r="D82" s="182"/>
      <c r="E82" s="182"/>
      <c r="F82" s="183">
        <f t="shared" si="13"/>
        <v>0</v>
      </c>
      <c r="G82" s="228"/>
      <c r="H82" s="7"/>
      <c r="I82" s="51">
        <f aca="true" t="shared" si="14" ref="I82:I93">F82+G82+H82</f>
        <v>0</v>
      </c>
      <c r="J82" s="50"/>
      <c r="K82" s="7"/>
      <c r="L82" s="51">
        <f aca="true" t="shared" si="15" ref="L82:L93">I82+J82+K82</f>
        <v>0</v>
      </c>
      <c r="M82" s="50"/>
      <c r="N82" s="7"/>
      <c r="O82" s="51">
        <f aca="true" t="shared" si="16" ref="O82:O93">L82+M82+N82</f>
        <v>0</v>
      </c>
      <c r="P82" s="129"/>
      <c r="Q82" s="127">
        <f t="shared" si="0"/>
        <v>0</v>
      </c>
    </row>
    <row r="83" spans="1:17" ht="12.75" hidden="1">
      <c r="A83" s="74" t="s">
        <v>35</v>
      </c>
      <c r="B83" s="163"/>
      <c r="C83" s="184"/>
      <c r="D83" s="182"/>
      <c r="E83" s="182"/>
      <c r="F83" s="183">
        <f t="shared" si="13"/>
        <v>0</v>
      </c>
      <c r="G83" s="228"/>
      <c r="H83" s="7"/>
      <c r="I83" s="51">
        <f t="shared" si="14"/>
        <v>0</v>
      </c>
      <c r="J83" s="50"/>
      <c r="K83" s="7"/>
      <c r="L83" s="51">
        <f t="shared" si="15"/>
        <v>0</v>
      </c>
      <c r="M83" s="50"/>
      <c r="N83" s="7"/>
      <c r="O83" s="51">
        <f t="shared" si="16"/>
        <v>0</v>
      </c>
      <c r="P83" s="129"/>
      <c r="Q83" s="127">
        <f t="shared" si="0"/>
        <v>0</v>
      </c>
    </row>
    <row r="84" spans="1:17" ht="12.75" hidden="1">
      <c r="A84" s="74" t="s">
        <v>53</v>
      </c>
      <c r="B84" s="163"/>
      <c r="C84" s="184"/>
      <c r="D84" s="182"/>
      <c r="E84" s="182"/>
      <c r="F84" s="183">
        <f t="shared" si="13"/>
        <v>0</v>
      </c>
      <c r="G84" s="228"/>
      <c r="H84" s="7"/>
      <c r="I84" s="51">
        <f t="shared" si="14"/>
        <v>0</v>
      </c>
      <c r="J84" s="50"/>
      <c r="K84" s="7"/>
      <c r="L84" s="51">
        <f t="shared" si="15"/>
        <v>0</v>
      </c>
      <c r="M84" s="50"/>
      <c r="N84" s="7"/>
      <c r="O84" s="51">
        <f t="shared" si="16"/>
        <v>0</v>
      </c>
      <c r="P84" s="129"/>
      <c r="Q84" s="127">
        <f t="shared" si="0"/>
        <v>0</v>
      </c>
    </row>
    <row r="85" spans="1:17" ht="12.75">
      <c r="A85" s="70" t="s">
        <v>38</v>
      </c>
      <c r="B85" s="160"/>
      <c r="C85" s="184"/>
      <c r="D85" s="182">
        <f>6918.64+11340.81+7316.8+5994.23+6188.99</f>
        <v>37759.47</v>
      </c>
      <c r="E85" s="182"/>
      <c r="F85" s="183">
        <f t="shared" si="13"/>
        <v>37759.47</v>
      </c>
      <c r="G85" s="228"/>
      <c r="H85" s="7"/>
      <c r="I85" s="51">
        <f t="shared" si="14"/>
        <v>37759.47</v>
      </c>
      <c r="J85" s="50"/>
      <c r="K85" s="7"/>
      <c r="L85" s="51">
        <f t="shared" si="15"/>
        <v>37759.47</v>
      </c>
      <c r="M85" s="50"/>
      <c r="N85" s="7"/>
      <c r="O85" s="51">
        <f t="shared" si="16"/>
        <v>37759.47</v>
      </c>
      <c r="P85" s="129"/>
      <c r="Q85" s="127">
        <f aca="true" t="shared" si="17" ref="Q85:Q149">O85+P85</f>
        <v>37759.47</v>
      </c>
    </row>
    <row r="86" spans="1:17" ht="12.75" hidden="1">
      <c r="A86" s="70" t="s">
        <v>291</v>
      </c>
      <c r="B86" s="160"/>
      <c r="C86" s="184"/>
      <c r="D86" s="182"/>
      <c r="E86" s="182"/>
      <c r="F86" s="183">
        <f t="shared" si="13"/>
        <v>0</v>
      </c>
      <c r="G86" s="228"/>
      <c r="H86" s="7"/>
      <c r="I86" s="51"/>
      <c r="J86" s="50"/>
      <c r="K86" s="7"/>
      <c r="L86" s="51"/>
      <c r="M86" s="50"/>
      <c r="N86" s="7"/>
      <c r="O86" s="51"/>
      <c r="P86" s="129"/>
      <c r="Q86" s="127"/>
    </row>
    <row r="87" spans="1:17" ht="12.75">
      <c r="A87" s="70" t="s">
        <v>192</v>
      </c>
      <c r="B87" s="160"/>
      <c r="C87" s="184"/>
      <c r="D87" s="182">
        <f>53677.67</f>
        <v>53677.67</v>
      </c>
      <c r="E87" s="182"/>
      <c r="F87" s="183">
        <f t="shared" si="13"/>
        <v>53677.67</v>
      </c>
      <c r="G87" s="228"/>
      <c r="H87" s="7"/>
      <c r="I87" s="51">
        <f t="shared" si="14"/>
        <v>53677.67</v>
      </c>
      <c r="J87" s="50"/>
      <c r="K87" s="7"/>
      <c r="L87" s="51">
        <f t="shared" si="15"/>
        <v>53677.67</v>
      </c>
      <c r="M87" s="50"/>
      <c r="N87" s="7"/>
      <c r="O87" s="51">
        <f t="shared" si="16"/>
        <v>53677.67</v>
      </c>
      <c r="P87" s="129"/>
      <c r="Q87" s="127">
        <f t="shared" si="17"/>
        <v>53677.67</v>
      </c>
    </row>
    <row r="88" spans="1:17" ht="12.75" hidden="1">
      <c r="A88" s="70" t="s">
        <v>193</v>
      </c>
      <c r="B88" s="160"/>
      <c r="C88" s="184"/>
      <c r="D88" s="182"/>
      <c r="E88" s="182"/>
      <c r="F88" s="183">
        <f t="shared" si="13"/>
        <v>0</v>
      </c>
      <c r="G88" s="228"/>
      <c r="H88" s="7"/>
      <c r="I88" s="51">
        <f t="shared" si="14"/>
        <v>0</v>
      </c>
      <c r="J88" s="50"/>
      <c r="K88" s="7"/>
      <c r="L88" s="51">
        <f t="shared" si="15"/>
        <v>0</v>
      </c>
      <c r="M88" s="50"/>
      <c r="N88" s="7"/>
      <c r="O88" s="51">
        <f t="shared" si="16"/>
        <v>0</v>
      </c>
      <c r="P88" s="129"/>
      <c r="Q88" s="127">
        <f t="shared" si="17"/>
        <v>0</v>
      </c>
    </row>
    <row r="89" spans="1:17" ht="12.75">
      <c r="A89" s="70" t="s">
        <v>54</v>
      </c>
      <c r="B89" s="160"/>
      <c r="C89" s="184"/>
      <c r="D89" s="182">
        <f>52007</f>
        <v>52007</v>
      </c>
      <c r="E89" s="182"/>
      <c r="F89" s="183">
        <f t="shared" si="13"/>
        <v>52007</v>
      </c>
      <c r="G89" s="228"/>
      <c r="H89" s="7"/>
      <c r="I89" s="51">
        <f t="shared" si="14"/>
        <v>52007</v>
      </c>
      <c r="J89" s="50"/>
      <c r="K89" s="7"/>
      <c r="L89" s="51">
        <f t="shared" si="15"/>
        <v>52007</v>
      </c>
      <c r="M89" s="50"/>
      <c r="N89" s="7"/>
      <c r="O89" s="51">
        <f t="shared" si="16"/>
        <v>52007</v>
      </c>
      <c r="P89" s="129"/>
      <c r="Q89" s="127">
        <f t="shared" si="17"/>
        <v>52007</v>
      </c>
    </row>
    <row r="90" spans="1:17" ht="12.75" hidden="1">
      <c r="A90" s="70" t="s">
        <v>55</v>
      </c>
      <c r="B90" s="160"/>
      <c r="C90" s="184"/>
      <c r="D90" s="182"/>
      <c r="E90" s="182"/>
      <c r="F90" s="183">
        <f t="shared" si="13"/>
        <v>0</v>
      </c>
      <c r="G90" s="228"/>
      <c r="H90" s="7"/>
      <c r="I90" s="51">
        <f t="shared" si="14"/>
        <v>0</v>
      </c>
      <c r="J90" s="50"/>
      <c r="K90" s="7"/>
      <c r="L90" s="51">
        <f t="shared" si="15"/>
        <v>0</v>
      </c>
      <c r="M90" s="50"/>
      <c r="N90" s="7"/>
      <c r="O90" s="51">
        <f t="shared" si="16"/>
        <v>0</v>
      </c>
      <c r="P90" s="129"/>
      <c r="Q90" s="127">
        <f t="shared" si="17"/>
        <v>0</v>
      </c>
    </row>
    <row r="91" spans="1:17" ht="12.75">
      <c r="A91" s="70" t="s">
        <v>56</v>
      </c>
      <c r="B91" s="160"/>
      <c r="C91" s="184"/>
      <c r="D91" s="182">
        <f>1698.56</f>
        <v>1698.56</v>
      </c>
      <c r="E91" s="182"/>
      <c r="F91" s="183">
        <f t="shared" si="13"/>
        <v>1698.56</v>
      </c>
      <c r="G91" s="228"/>
      <c r="H91" s="7"/>
      <c r="I91" s="51">
        <f t="shared" si="14"/>
        <v>1698.56</v>
      </c>
      <c r="J91" s="50"/>
      <c r="K91" s="7"/>
      <c r="L91" s="51">
        <f t="shared" si="15"/>
        <v>1698.56</v>
      </c>
      <c r="M91" s="50"/>
      <c r="N91" s="7"/>
      <c r="O91" s="51">
        <f t="shared" si="16"/>
        <v>1698.56</v>
      </c>
      <c r="P91" s="129"/>
      <c r="Q91" s="127">
        <f t="shared" si="17"/>
        <v>1698.56</v>
      </c>
    </row>
    <row r="92" spans="1:17" ht="12.75" hidden="1">
      <c r="A92" s="70" t="s">
        <v>42</v>
      </c>
      <c r="B92" s="160"/>
      <c r="C92" s="184"/>
      <c r="D92" s="182"/>
      <c r="E92" s="182"/>
      <c r="F92" s="183">
        <f t="shared" si="13"/>
        <v>0</v>
      </c>
      <c r="G92" s="228"/>
      <c r="H92" s="7"/>
      <c r="I92" s="51">
        <f t="shared" si="14"/>
        <v>0</v>
      </c>
      <c r="J92" s="50"/>
      <c r="K92" s="7"/>
      <c r="L92" s="51">
        <f t="shared" si="15"/>
        <v>0</v>
      </c>
      <c r="M92" s="50"/>
      <c r="N92" s="7"/>
      <c r="O92" s="51">
        <f t="shared" si="16"/>
        <v>0</v>
      </c>
      <c r="P92" s="144"/>
      <c r="Q92" s="127">
        <f t="shared" si="17"/>
        <v>0</v>
      </c>
    </row>
    <row r="93" spans="1:17" ht="12.75" hidden="1">
      <c r="A93" s="70" t="s">
        <v>201</v>
      </c>
      <c r="B93" s="160"/>
      <c r="C93" s="184"/>
      <c r="D93" s="182"/>
      <c r="E93" s="182"/>
      <c r="F93" s="183">
        <f t="shared" si="13"/>
        <v>0</v>
      </c>
      <c r="G93" s="228"/>
      <c r="H93" s="7"/>
      <c r="I93" s="51">
        <f t="shared" si="14"/>
        <v>0</v>
      </c>
      <c r="J93" s="50"/>
      <c r="K93" s="7"/>
      <c r="L93" s="51">
        <f t="shared" si="15"/>
        <v>0</v>
      </c>
      <c r="M93" s="50"/>
      <c r="N93" s="7"/>
      <c r="O93" s="51">
        <f t="shared" si="16"/>
        <v>0</v>
      </c>
      <c r="P93" s="129"/>
      <c r="Q93" s="127">
        <f t="shared" si="17"/>
        <v>0</v>
      </c>
    </row>
    <row r="94" spans="1:17" ht="15" customHeight="1" hidden="1">
      <c r="A94" s="71" t="s">
        <v>57</v>
      </c>
      <c r="B94" s="161"/>
      <c r="C94" s="244">
        <f>SUM(C96:C98)</f>
        <v>0</v>
      </c>
      <c r="D94" s="186">
        <f>SUM(D96:D98)</f>
        <v>0</v>
      </c>
      <c r="E94" s="245">
        <f>SUM(E96:E98)</f>
        <v>0</v>
      </c>
      <c r="F94" s="187">
        <f>SUM(F96:F98)</f>
        <v>0</v>
      </c>
      <c r="G94" s="17"/>
      <c r="H94" s="8"/>
      <c r="I94" s="53">
        <f>SUM(I96:I98)</f>
        <v>0</v>
      </c>
      <c r="J94" s="52"/>
      <c r="K94" s="8"/>
      <c r="L94" s="53">
        <f>SUM(L96:L98)</f>
        <v>0</v>
      </c>
      <c r="M94" s="52"/>
      <c r="N94" s="8"/>
      <c r="O94" s="53">
        <f>SUM(O96:O98)</f>
        <v>0</v>
      </c>
      <c r="P94" s="132"/>
      <c r="Q94" s="63">
        <f>SUM(Q96:Q98)</f>
        <v>0</v>
      </c>
    </row>
    <row r="95" spans="1:17" ht="12.75" hidden="1">
      <c r="A95" s="68" t="s">
        <v>33</v>
      </c>
      <c r="B95" s="158"/>
      <c r="C95" s="184"/>
      <c r="D95" s="182"/>
      <c r="E95" s="182"/>
      <c r="F95" s="183"/>
      <c r="G95" s="228"/>
      <c r="H95" s="7"/>
      <c r="I95" s="51"/>
      <c r="J95" s="50"/>
      <c r="K95" s="7"/>
      <c r="L95" s="51"/>
      <c r="M95" s="50"/>
      <c r="N95" s="7"/>
      <c r="O95" s="51"/>
      <c r="P95" s="129"/>
      <c r="Q95" s="127"/>
    </row>
    <row r="96" spans="1:17" ht="12.75" hidden="1">
      <c r="A96" s="70" t="s">
        <v>58</v>
      </c>
      <c r="B96" s="160"/>
      <c r="C96" s="184"/>
      <c r="D96" s="182"/>
      <c r="E96" s="182"/>
      <c r="F96" s="183">
        <f>C96+D96+E96</f>
        <v>0</v>
      </c>
      <c r="G96" s="228"/>
      <c r="H96" s="7"/>
      <c r="I96" s="51">
        <f>F96+G96+H96</f>
        <v>0</v>
      </c>
      <c r="J96" s="50"/>
      <c r="K96" s="7"/>
      <c r="L96" s="51">
        <f>I96+J96+K96</f>
        <v>0</v>
      </c>
      <c r="M96" s="50"/>
      <c r="N96" s="7"/>
      <c r="O96" s="51">
        <f>L96+M96+N96</f>
        <v>0</v>
      </c>
      <c r="P96" s="129"/>
      <c r="Q96" s="127">
        <f t="shared" si="17"/>
        <v>0</v>
      </c>
    </row>
    <row r="97" spans="1:17" ht="12.75" hidden="1">
      <c r="A97" s="70" t="s">
        <v>30</v>
      </c>
      <c r="B97" s="160"/>
      <c r="C97" s="184"/>
      <c r="D97" s="182"/>
      <c r="E97" s="182"/>
      <c r="F97" s="183">
        <f>C97+D97+E97</f>
        <v>0</v>
      </c>
      <c r="G97" s="228"/>
      <c r="H97" s="7"/>
      <c r="I97" s="51">
        <f>F97+G97+H97</f>
        <v>0</v>
      </c>
      <c r="J97" s="50"/>
      <c r="K97" s="7"/>
      <c r="L97" s="51">
        <f>I97+J97+K97</f>
        <v>0</v>
      </c>
      <c r="M97" s="50"/>
      <c r="N97" s="7"/>
      <c r="O97" s="51">
        <f>L97+M97+N97</f>
        <v>0</v>
      </c>
      <c r="P97" s="129"/>
      <c r="Q97" s="127">
        <f t="shared" si="17"/>
        <v>0</v>
      </c>
    </row>
    <row r="98" spans="1:17" ht="12.75" hidden="1">
      <c r="A98" s="70" t="s">
        <v>50</v>
      </c>
      <c r="B98" s="160"/>
      <c r="C98" s="184"/>
      <c r="D98" s="182"/>
      <c r="E98" s="182"/>
      <c r="F98" s="183">
        <f>C98+D98+E98</f>
        <v>0</v>
      </c>
      <c r="G98" s="228"/>
      <c r="H98" s="7"/>
      <c r="I98" s="51">
        <f>F98+G98+H98</f>
        <v>0</v>
      </c>
      <c r="J98" s="50"/>
      <c r="K98" s="7"/>
      <c r="L98" s="51">
        <f>I98+J98+K98</f>
        <v>0</v>
      </c>
      <c r="M98" s="50"/>
      <c r="N98" s="7"/>
      <c r="O98" s="51">
        <f>L98+M98+N98</f>
        <v>0</v>
      </c>
      <c r="P98" s="129"/>
      <c r="Q98" s="127">
        <f t="shared" si="17"/>
        <v>0</v>
      </c>
    </row>
    <row r="99" spans="1:17" ht="16.5" thickBot="1">
      <c r="A99" s="75" t="s">
        <v>59</v>
      </c>
      <c r="B99" s="164"/>
      <c r="C99" s="188">
        <f>C11+C16+C52+C79+C45+C94</f>
        <v>3896837</v>
      </c>
      <c r="D99" s="189">
        <f>D11+D16+D52+D79+D45</f>
        <v>5943562.2</v>
      </c>
      <c r="E99" s="189">
        <f>E11+E16+E52+E79+E45</f>
        <v>1800</v>
      </c>
      <c r="F99" s="190">
        <f>F11+F16+F52+F79+F45</f>
        <v>9842199.2</v>
      </c>
      <c r="G99" s="230"/>
      <c r="H99" s="11"/>
      <c r="I99" s="57">
        <f>I11+I16+I52+I79+I45+I94</f>
        <v>9837510.22</v>
      </c>
      <c r="J99" s="56"/>
      <c r="K99" s="11"/>
      <c r="L99" s="57">
        <f>L11+L16+L52+L79+L45+L94</f>
        <v>9837510.22</v>
      </c>
      <c r="M99" s="56"/>
      <c r="N99" s="11"/>
      <c r="O99" s="57">
        <f>O11+O16+O52+O79+O45+O94</f>
        <v>9837510.22</v>
      </c>
      <c r="P99" s="133"/>
      <c r="Q99" s="57">
        <f>Q11+Q16+Q52+Q79+Q45+Q94</f>
        <v>9837510.22</v>
      </c>
    </row>
    <row r="100" spans="1:17" ht="12.75">
      <c r="A100" s="67" t="s">
        <v>60</v>
      </c>
      <c r="B100" s="157"/>
      <c r="C100" s="179"/>
      <c r="D100" s="182"/>
      <c r="E100" s="182"/>
      <c r="F100" s="183"/>
      <c r="G100" s="228"/>
      <c r="H100" s="7"/>
      <c r="I100" s="51"/>
      <c r="J100" s="50"/>
      <c r="K100" s="7"/>
      <c r="L100" s="51"/>
      <c r="M100" s="50"/>
      <c r="N100" s="7"/>
      <c r="O100" s="51"/>
      <c r="P100" s="129"/>
      <c r="Q100" s="127"/>
    </row>
    <row r="101" spans="1:17" ht="12.75">
      <c r="A101" s="67" t="s">
        <v>61</v>
      </c>
      <c r="B101" s="167"/>
      <c r="C101" s="179">
        <f>C102+C114</f>
        <v>46742</v>
      </c>
      <c r="D101" s="180">
        <f>D102+D114</f>
        <v>4236.76</v>
      </c>
      <c r="E101" s="180">
        <f>E102+E114</f>
        <v>0</v>
      </c>
      <c r="F101" s="181">
        <f>F102+F114</f>
        <v>50978.76</v>
      </c>
      <c r="G101" s="227"/>
      <c r="H101" s="6"/>
      <c r="I101" s="49">
        <f>I102+I114</f>
        <v>50978.76</v>
      </c>
      <c r="J101" s="48"/>
      <c r="K101" s="6"/>
      <c r="L101" s="49">
        <f>L102+L114</f>
        <v>50978.76</v>
      </c>
      <c r="M101" s="48"/>
      <c r="N101" s="6"/>
      <c r="O101" s="49">
        <f>O102+O114</f>
        <v>50978.76</v>
      </c>
      <c r="P101" s="130"/>
      <c r="Q101" s="107">
        <f>Q102+Q114</f>
        <v>50978.76</v>
      </c>
    </row>
    <row r="102" spans="1:17" ht="12.75">
      <c r="A102" s="76" t="s">
        <v>62</v>
      </c>
      <c r="B102" s="167"/>
      <c r="C102" s="191">
        <f aca="true" t="shared" si="18" ref="C102:O102">SUM(C104:C113)</f>
        <v>46742</v>
      </c>
      <c r="D102" s="192">
        <f t="shared" si="18"/>
        <v>4236.76</v>
      </c>
      <c r="E102" s="192">
        <f>SUM(E104:E113)</f>
        <v>0</v>
      </c>
      <c r="F102" s="193">
        <f t="shared" si="18"/>
        <v>50978.76</v>
      </c>
      <c r="G102" s="231"/>
      <c r="H102" s="12"/>
      <c r="I102" s="59">
        <f t="shared" si="18"/>
        <v>50978.76</v>
      </c>
      <c r="J102" s="58"/>
      <c r="K102" s="12"/>
      <c r="L102" s="59">
        <f t="shared" si="18"/>
        <v>50978.76</v>
      </c>
      <c r="M102" s="58"/>
      <c r="N102" s="12"/>
      <c r="O102" s="59">
        <f t="shared" si="18"/>
        <v>50978.76</v>
      </c>
      <c r="P102" s="134"/>
      <c r="Q102" s="108">
        <f>SUM(Q104:Q113)</f>
        <v>50978.76</v>
      </c>
    </row>
    <row r="103" spans="1:17" ht="10.5" customHeight="1">
      <c r="A103" s="72" t="s">
        <v>33</v>
      </c>
      <c r="B103" s="114"/>
      <c r="C103" s="184"/>
      <c r="D103" s="182"/>
      <c r="E103" s="182"/>
      <c r="F103" s="183"/>
      <c r="G103" s="228"/>
      <c r="H103" s="7"/>
      <c r="I103" s="51"/>
      <c r="J103" s="50"/>
      <c r="K103" s="7"/>
      <c r="L103" s="51"/>
      <c r="M103" s="50"/>
      <c r="N103" s="7"/>
      <c r="O103" s="51"/>
      <c r="P103" s="129"/>
      <c r="Q103" s="127"/>
    </row>
    <row r="104" spans="1:17" ht="12.75">
      <c r="A104" s="70" t="s">
        <v>162</v>
      </c>
      <c r="B104" s="165"/>
      <c r="C104" s="184">
        <v>17854.5</v>
      </c>
      <c r="D104" s="182">
        <f>3365.95</f>
        <v>3365.95</v>
      </c>
      <c r="E104" s="182"/>
      <c r="F104" s="183">
        <f aca="true" t="shared" si="19" ref="F104:F113">C104+D104+E104</f>
        <v>21220.45</v>
      </c>
      <c r="G104" s="228"/>
      <c r="H104" s="7"/>
      <c r="I104" s="51">
        <f aca="true" t="shared" si="20" ref="I104:I113">F104+G104+H104</f>
        <v>21220.45</v>
      </c>
      <c r="J104" s="50"/>
      <c r="K104" s="7"/>
      <c r="L104" s="51">
        <f aca="true" t="shared" si="21" ref="L104:L113">I104+J104+K104</f>
        <v>21220.45</v>
      </c>
      <c r="M104" s="50"/>
      <c r="N104" s="7"/>
      <c r="O104" s="51">
        <f aca="true" t="shared" si="22" ref="O104:O113">L104+M104+N104</f>
        <v>21220.45</v>
      </c>
      <c r="P104" s="129"/>
      <c r="Q104" s="127">
        <f t="shared" si="17"/>
        <v>21220.45</v>
      </c>
    </row>
    <row r="105" spans="1:17" ht="12.75">
      <c r="A105" s="70" t="s">
        <v>63</v>
      </c>
      <c r="B105" s="165"/>
      <c r="C105" s="184">
        <v>4209</v>
      </c>
      <c r="D105" s="182">
        <f>239.77</f>
        <v>239.77</v>
      </c>
      <c r="E105" s="182"/>
      <c r="F105" s="183">
        <f t="shared" si="19"/>
        <v>4448.77</v>
      </c>
      <c r="G105" s="228"/>
      <c r="H105" s="7"/>
      <c r="I105" s="51">
        <f t="shared" si="20"/>
        <v>4448.77</v>
      </c>
      <c r="J105" s="50"/>
      <c r="K105" s="7"/>
      <c r="L105" s="51">
        <f t="shared" si="21"/>
        <v>4448.77</v>
      </c>
      <c r="M105" s="50"/>
      <c r="N105" s="7"/>
      <c r="O105" s="51">
        <f t="shared" si="22"/>
        <v>4448.77</v>
      </c>
      <c r="P105" s="129"/>
      <c r="Q105" s="127">
        <f t="shared" si="17"/>
        <v>4448.77</v>
      </c>
    </row>
    <row r="106" spans="1:17" ht="12.75">
      <c r="A106" s="70" t="s">
        <v>321</v>
      </c>
      <c r="B106" s="165"/>
      <c r="C106" s="184">
        <v>1100</v>
      </c>
      <c r="D106" s="182"/>
      <c r="E106" s="182"/>
      <c r="F106" s="183">
        <f t="shared" si="19"/>
        <v>1100</v>
      </c>
      <c r="G106" s="228"/>
      <c r="H106" s="7"/>
      <c r="I106" s="51">
        <f t="shared" si="20"/>
        <v>1100</v>
      </c>
      <c r="J106" s="50"/>
      <c r="K106" s="7"/>
      <c r="L106" s="51">
        <f t="shared" si="21"/>
        <v>1100</v>
      </c>
      <c r="M106" s="50"/>
      <c r="N106" s="7"/>
      <c r="O106" s="51">
        <f t="shared" si="22"/>
        <v>1100</v>
      </c>
      <c r="P106" s="129"/>
      <c r="Q106" s="127">
        <f t="shared" si="17"/>
        <v>1100</v>
      </c>
    </row>
    <row r="107" spans="1:17" ht="12.75" hidden="1">
      <c r="A107" s="70" t="s">
        <v>196</v>
      </c>
      <c r="B107" s="165"/>
      <c r="C107" s="184"/>
      <c r="D107" s="182"/>
      <c r="E107" s="182"/>
      <c r="F107" s="183">
        <f t="shared" si="19"/>
        <v>0</v>
      </c>
      <c r="G107" s="228"/>
      <c r="H107" s="7"/>
      <c r="I107" s="51">
        <f t="shared" si="20"/>
        <v>0</v>
      </c>
      <c r="J107" s="50"/>
      <c r="K107" s="7"/>
      <c r="L107" s="51">
        <f t="shared" si="21"/>
        <v>0</v>
      </c>
      <c r="M107" s="50"/>
      <c r="N107" s="7"/>
      <c r="O107" s="51">
        <f t="shared" si="22"/>
        <v>0</v>
      </c>
      <c r="P107" s="129"/>
      <c r="Q107" s="127">
        <f t="shared" si="17"/>
        <v>0</v>
      </c>
    </row>
    <row r="108" spans="1:17" ht="12.75" hidden="1">
      <c r="A108" s="70" t="s">
        <v>197</v>
      </c>
      <c r="B108" s="165"/>
      <c r="C108" s="184"/>
      <c r="D108" s="182"/>
      <c r="E108" s="182"/>
      <c r="F108" s="183">
        <f t="shared" si="19"/>
        <v>0</v>
      </c>
      <c r="G108" s="228"/>
      <c r="H108" s="7"/>
      <c r="I108" s="51">
        <f t="shared" si="20"/>
        <v>0</v>
      </c>
      <c r="J108" s="50"/>
      <c r="K108" s="7"/>
      <c r="L108" s="51">
        <f t="shared" si="21"/>
        <v>0</v>
      </c>
      <c r="M108" s="50"/>
      <c r="N108" s="7"/>
      <c r="O108" s="51">
        <f t="shared" si="22"/>
        <v>0</v>
      </c>
      <c r="P108" s="129"/>
      <c r="Q108" s="127">
        <f t="shared" si="17"/>
        <v>0</v>
      </c>
    </row>
    <row r="109" spans="1:17" ht="12.75">
      <c r="A109" s="70" t="s">
        <v>64</v>
      </c>
      <c r="B109" s="165"/>
      <c r="C109" s="184">
        <v>17204.5</v>
      </c>
      <c r="D109" s="182">
        <f>537+94.04</f>
        <v>631.04</v>
      </c>
      <c r="E109" s="182"/>
      <c r="F109" s="183">
        <f t="shared" si="19"/>
        <v>17835.54</v>
      </c>
      <c r="G109" s="228"/>
      <c r="H109" s="7"/>
      <c r="I109" s="51">
        <f t="shared" si="20"/>
        <v>17835.54</v>
      </c>
      <c r="J109" s="50"/>
      <c r="K109" s="7"/>
      <c r="L109" s="51">
        <f t="shared" si="21"/>
        <v>17835.54</v>
      </c>
      <c r="M109" s="50"/>
      <c r="N109" s="7"/>
      <c r="O109" s="51">
        <f t="shared" si="22"/>
        <v>17835.54</v>
      </c>
      <c r="P109" s="129"/>
      <c r="Q109" s="127">
        <f t="shared" si="17"/>
        <v>17835.54</v>
      </c>
    </row>
    <row r="110" spans="1:17" ht="12.75" hidden="1">
      <c r="A110" s="70" t="s">
        <v>257</v>
      </c>
      <c r="B110" s="165">
        <v>95029</v>
      </c>
      <c r="C110" s="184"/>
      <c r="D110" s="182"/>
      <c r="E110" s="182"/>
      <c r="F110" s="183">
        <f t="shared" si="19"/>
        <v>0</v>
      </c>
      <c r="G110" s="228"/>
      <c r="H110" s="7"/>
      <c r="I110" s="51"/>
      <c r="J110" s="50"/>
      <c r="K110" s="7"/>
      <c r="L110" s="51"/>
      <c r="M110" s="50"/>
      <c r="N110" s="7"/>
      <c r="O110" s="51"/>
      <c r="P110" s="129"/>
      <c r="Q110" s="127"/>
    </row>
    <row r="111" spans="1:17" ht="12.75" hidden="1">
      <c r="A111" s="70" t="s">
        <v>95</v>
      </c>
      <c r="B111" s="165"/>
      <c r="C111" s="184"/>
      <c r="D111" s="182"/>
      <c r="E111" s="182"/>
      <c r="F111" s="183">
        <f t="shared" si="19"/>
        <v>0</v>
      </c>
      <c r="G111" s="228"/>
      <c r="H111" s="7"/>
      <c r="I111" s="51"/>
      <c r="J111" s="50"/>
      <c r="K111" s="7"/>
      <c r="L111" s="51"/>
      <c r="M111" s="50"/>
      <c r="N111" s="7"/>
      <c r="O111" s="51"/>
      <c r="P111" s="129"/>
      <c r="Q111" s="127"/>
    </row>
    <row r="112" spans="1:17" ht="12.75">
      <c r="A112" s="70" t="s">
        <v>65</v>
      </c>
      <c r="B112" s="165"/>
      <c r="C112" s="184">
        <v>500</v>
      </c>
      <c r="D112" s="182"/>
      <c r="E112" s="182"/>
      <c r="F112" s="183">
        <f t="shared" si="19"/>
        <v>500</v>
      </c>
      <c r="G112" s="228"/>
      <c r="H112" s="7"/>
      <c r="I112" s="51">
        <f t="shared" si="20"/>
        <v>500</v>
      </c>
      <c r="J112" s="50"/>
      <c r="K112" s="7"/>
      <c r="L112" s="51">
        <f t="shared" si="21"/>
        <v>500</v>
      </c>
      <c r="M112" s="50"/>
      <c r="N112" s="7"/>
      <c r="O112" s="51">
        <f t="shared" si="22"/>
        <v>500</v>
      </c>
      <c r="P112" s="129"/>
      <c r="Q112" s="127">
        <f t="shared" si="17"/>
        <v>500</v>
      </c>
    </row>
    <row r="113" spans="1:17" ht="12.75">
      <c r="A113" s="73" t="s">
        <v>66</v>
      </c>
      <c r="B113" s="168"/>
      <c r="C113" s="194">
        <v>5874</v>
      </c>
      <c r="D113" s="195"/>
      <c r="E113" s="195"/>
      <c r="F113" s="246">
        <f t="shared" si="19"/>
        <v>5874</v>
      </c>
      <c r="G113" s="228"/>
      <c r="H113" s="7"/>
      <c r="I113" s="51">
        <f t="shared" si="20"/>
        <v>5874</v>
      </c>
      <c r="J113" s="50"/>
      <c r="K113" s="7"/>
      <c r="L113" s="51">
        <f t="shared" si="21"/>
        <v>5874</v>
      </c>
      <c r="M113" s="50"/>
      <c r="N113" s="7"/>
      <c r="O113" s="51">
        <f t="shared" si="22"/>
        <v>5874</v>
      </c>
      <c r="P113" s="129"/>
      <c r="Q113" s="127">
        <f t="shared" si="17"/>
        <v>5874</v>
      </c>
    </row>
    <row r="114" spans="1:17" ht="12.75" hidden="1">
      <c r="A114" s="77" t="s">
        <v>67</v>
      </c>
      <c r="B114" s="169"/>
      <c r="C114" s="196">
        <f>SUM(C116:C119)</f>
        <v>0</v>
      </c>
      <c r="D114" s="197">
        <f>SUM(D116:D119)</f>
        <v>0</v>
      </c>
      <c r="E114" s="197">
        <f>SUM(E116:E119)</f>
        <v>0</v>
      </c>
      <c r="F114" s="198">
        <f>SUM(F116:F119)</f>
        <v>0</v>
      </c>
      <c r="G114" s="117"/>
      <c r="H114" s="13"/>
      <c r="I114" s="61">
        <f>SUM(I116:I119)</f>
        <v>0</v>
      </c>
      <c r="J114" s="60"/>
      <c r="K114" s="13"/>
      <c r="L114" s="61">
        <f>SUM(L116:L119)</f>
        <v>0</v>
      </c>
      <c r="M114" s="60"/>
      <c r="N114" s="13"/>
      <c r="O114" s="61">
        <f>SUM(O116:O119)</f>
        <v>0</v>
      </c>
      <c r="P114" s="135"/>
      <c r="Q114" s="120">
        <f>SUM(Q116:Q119)</f>
        <v>0</v>
      </c>
    </row>
    <row r="115" spans="1:17" ht="11.25" customHeight="1" hidden="1">
      <c r="A115" s="68" t="s">
        <v>33</v>
      </c>
      <c r="B115" s="165"/>
      <c r="C115" s="185"/>
      <c r="D115" s="186"/>
      <c r="E115" s="186"/>
      <c r="F115" s="187"/>
      <c r="G115" s="17"/>
      <c r="H115" s="8"/>
      <c r="I115" s="53"/>
      <c r="J115" s="52"/>
      <c r="K115" s="8"/>
      <c r="L115" s="53"/>
      <c r="M115" s="52"/>
      <c r="N115" s="8"/>
      <c r="O115" s="53"/>
      <c r="P115" s="129"/>
      <c r="Q115" s="127"/>
    </row>
    <row r="116" spans="1:17" ht="12.75" hidden="1">
      <c r="A116" s="70" t="s">
        <v>198</v>
      </c>
      <c r="B116" s="165"/>
      <c r="C116" s="184"/>
      <c r="D116" s="182"/>
      <c r="E116" s="182"/>
      <c r="F116" s="183">
        <f>C116+D116+E116</f>
        <v>0</v>
      </c>
      <c r="G116" s="228"/>
      <c r="H116" s="7"/>
      <c r="I116" s="51">
        <f>F116+G116+H116</f>
        <v>0</v>
      </c>
      <c r="J116" s="50"/>
      <c r="K116" s="7"/>
      <c r="L116" s="51">
        <f>I116+J116+K116</f>
        <v>0</v>
      </c>
      <c r="M116" s="50"/>
      <c r="N116" s="7"/>
      <c r="O116" s="51">
        <f>L116+M116+N116</f>
        <v>0</v>
      </c>
      <c r="P116" s="129"/>
      <c r="Q116" s="127">
        <f t="shared" si="17"/>
        <v>0</v>
      </c>
    </row>
    <row r="117" spans="1:17" ht="12.75" hidden="1">
      <c r="A117" s="70" t="s">
        <v>257</v>
      </c>
      <c r="B117" s="165"/>
      <c r="C117" s="184"/>
      <c r="D117" s="182"/>
      <c r="E117" s="182"/>
      <c r="F117" s="183">
        <f>C117+D117+E117</f>
        <v>0</v>
      </c>
      <c r="G117" s="228"/>
      <c r="H117" s="7"/>
      <c r="I117" s="51"/>
      <c r="J117" s="50"/>
      <c r="K117" s="7"/>
      <c r="L117" s="51"/>
      <c r="M117" s="50"/>
      <c r="N117" s="7"/>
      <c r="O117" s="51"/>
      <c r="P117" s="129"/>
      <c r="Q117" s="127"/>
    </row>
    <row r="118" spans="1:17" ht="12.75" hidden="1">
      <c r="A118" s="70" t="s">
        <v>66</v>
      </c>
      <c r="B118" s="165"/>
      <c r="C118" s="184"/>
      <c r="D118" s="182"/>
      <c r="E118" s="182"/>
      <c r="F118" s="183">
        <f>C118+D118+E118</f>
        <v>0</v>
      </c>
      <c r="G118" s="16"/>
      <c r="H118" s="10"/>
      <c r="I118" s="55">
        <f>F118+G118+H118</f>
        <v>0</v>
      </c>
      <c r="J118" s="54"/>
      <c r="K118" s="10"/>
      <c r="L118" s="55">
        <f>I118+J118+K118</f>
        <v>0</v>
      </c>
      <c r="M118" s="54"/>
      <c r="N118" s="10"/>
      <c r="O118" s="55">
        <f>L118+M118+N118</f>
        <v>0</v>
      </c>
      <c r="P118" s="142"/>
      <c r="Q118" s="143">
        <f t="shared" si="17"/>
        <v>0</v>
      </c>
    </row>
    <row r="119" spans="1:17" ht="12.75" hidden="1">
      <c r="A119" s="73" t="s">
        <v>68</v>
      </c>
      <c r="B119" s="168"/>
      <c r="C119" s="194"/>
      <c r="D119" s="195"/>
      <c r="E119" s="195"/>
      <c r="F119" s="246">
        <f>C119+D119+E119</f>
        <v>0</v>
      </c>
      <c r="G119" s="16"/>
      <c r="H119" s="10"/>
      <c r="I119" s="55">
        <f>F119+G119+H119</f>
        <v>0</v>
      </c>
      <c r="J119" s="54"/>
      <c r="K119" s="10"/>
      <c r="L119" s="55">
        <f>I119+J119+K119</f>
        <v>0</v>
      </c>
      <c r="M119" s="54"/>
      <c r="N119" s="10"/>
      <c r="O119" s="55">
        <f>L119+M119+N119</f>
        <v>0</v>
      </c>
      <c r="P119" s="129"/>
      <c r="Q119" s="127">
        <f t="shared" si="17"/>
        <v>0</v>
      </c>
    </row>
    <row r="120" spans="1:17" ht="12.75">
      <c r="A120" s="67" t="s">
        <v>69</v>
      </c>
      <c r="B120" s="169"/>
      <c r="C120" s="179">
        <f>C121+C139</f>
        <v>335211.19999999995</v>
      </c>
      <c r="D120" s="180">
        <f>D121+D139</f>
        <v>11768.62</v>
      </c>
      <c r="E120" s="180">
        <f>E121+E139</f>
        <v>0</v>
      </c>
      <c r="F120" s="181">
        <f>F121+F139</f>
        <v>346979.82</v>
      </c>
      <c r="G120" s="227"/>
      <c r="H120" s="6"/>
      <c r="I120" s="49">
        <f>I121+I139</f>
        <v>346979.82</v>
      </c>
      <c r="J120" s="48"/>
      <c r="K120" s="6"/>
      <c r="L120" s="49">
        <f>L121+L139</f>
        <v>346979.82</v>
      </c>
      <c r="M120" s="48"/>
      <c r="N120" s="6"/>
      <c r="O120" s="49">
        <f>O121+O139</f>
        <v>346979.82</v>
      </c>
      <c r="P120" s="130"/>
      <c r="Q120" s="107">
        <f>Q121+Q139</f>
        <v>346979.82</v>
      </c>
    </row>
    <row r="121" spans="1:17" ht="12.75">
      <c r="A121" s="76" t="s">
        <v>62</v>
      </c>
      <c r="B121" s="169"/>
      <c r="C121" s="191">
        <f>SUM(C123:C138)</f>
        <v>335211.19999999995</v>
      </c>
      <c r="D121" s="192">
        <f>SUM(D123:D138)</f>
        <v>9713.880000000001</v>
      </c>
      <c r="E121" s="192">
        <f>SUM(E123:E138)</f>
        <v>0</v>
      </c>
      <c r="F121" s="193">
        <f>SUM(F123:F138)</f>
        <v>344925.08</v>
      </c>
      <c r="G121" s="231"/>
      <c r="H121" s="12"/>
      <c r="I121" s="59">
        <f>SUM(I123:I138)</f>
        <v>344925.08</v>
      </c>
      <c r="J121" s="58"/>
      <c r="K121" s="12"/>
      <c r="L121" s="59">
        <f>SUM(L123:L138)</f>
        <v>344925.08</v>
      </c>
      <c r="M121" s="58"/>
      <c r="N121" s="12"/>
      <c r="O121" s="59">
        <f>SUM(O123:O138)</f>
        <v>344925.08</v>
      </c>
      <c r="P121" s="134"/>
      <c r="Q121" s="108">
        <f>SUM(Q123:Q138)</f>
        <v>344925.08</v>
      </c>
    </row>
    <row r="122" spans="1:17" ht="12.75">
      <c r="A122" s="72" t="s">
        <v>33</v>
      </c>
      <c r="B122" s="165"/>
      <c r="C122" s="184"/>
      <c r="D122" s="182"/>
      <c r="E122" s="182"/>
      <c r="F122" s="183"/>
      <c r="G122" s="228"/>
      <c r="H122" s="7"/>
      <c r="I122" s="51"/>
      <c r="J122" s="50"/>
      <c r="K122" s="7"/>
      <c r="L122" s="51"/>
      <c r="M122" s="50"/>
      <c r="N122" s="7"/>
      <c r="O122" s="51"/>
      <c r="P122" s="129"/>
      <c r="Q122" s="127"/>
    </row>
    <row r="123" spans="1:17" ht="12.75">
      <c r="A123" s="79" t="s">
        <v>163</v>
      </c>
      <c r="B123" s="165"/>
      <c r="C123" s="184">
        <v>166947.3</v>
      </c>
      <c r="D123" s="182">
        <f>3795.76</f>
        <v>3795.76</v>
      </c>
      <c r="E123" s="182"/>
      <c r="F123" s="183">
        <f aca="true" t="shared" si="23" ref="F123:F138">C123+D123+E123</f>
        <v>170743.06</v>
      </c>
      <c r="G123" s="228"/>
      <c r="H123" s="7"/>
      <c r="I123" s="51">
        <f>F123+G123+H123</f>
        <v>170743.06</v>
      </c>
      <c r="J123" s="50"/>
      <c r="K123" s="7"/>
      <c r="L123" s="51">
        <f>I123+J123+K123</f>
        <v>170743.06</v>
      </c>
      <c r="M123" s="50"/>
      <c r="N123" s="7"/>
      <c r="O123" s="51">
        <f>L123+M123+N123</f>
        <v>170743.06</v>
      </c>
      <c r="P123" s="129"/>
      <c r="Q123" s="127">
        <f t="shared" si="17"/>
        <v>170743.06</v>
      </c>
    </row>
    <row r="124" spans="1:17" ht="12.75">
      <c r="A124" s="70" t="s">
        <v>63</v>
      </c>
      <c r="B124" s="165"/>
      <c r="C124" s="184">
        <v>56898.9</v>
      </c>
      <c r="D124" s="182">
        <f>1927.38</f>
        <v>1927.38</v>
      </c>
      <c r="E124" s="182"/>
      <c r="F124" s="183">
        <f t="shared" si="23"/>
        <v>58826.28</v>
      </c>
      <c r="G124" s="228"/>
      <c r="H124" s="7"/>
      <c r="I124" s="51">
        <f aca="true" t="shared" si="24" ref="I124:I138">F124+G124+H124</f>
        <v>58826.28</v>
      </c>
      <c r="J124" s="50"/>
      <c r="K124" s="7"/>
      <c r="L124" s="51">
        <f aca="true" t="shared" si="25" ref="L124:L138">I124+J124+K124</f>
        <v>58826.28</v>
      </c>
      <c r="M124" s="50"/>
      <c r="N124" s="7"/>
      <c r="O124" s="51">
        <f aca="true" t="shared" si="26" ref="O124:O138">L124+M124+N124</f>
        <v>58826.28</v>
      </c>
      <c r="P124" s="129"/>
      <c r="Q124" s="127">
        <f t="shared" si="17"/>
        <v>58826.28</v>
      </c>
    </row>
    <row r="125" spans="1:17" ht="12.75">
      <c r="A125" s="70" t="s">
        <v>321</v>
      </c>
      <c r="B125" s="165"/>
      <c r="C125" s="184">
        <v>200</v>
      </c>
      <c r="D125" s="182"/>
      <c r="E125" s="182"/>
      <c r="F125" s="183">
        <f t="shared" si="23"/>
        <v>200</v>
      </c>
      <c r="G125" s="228"/>
      <c r="H125" s="7"/>
      <c r="I125" s="51">
        <f t="shared" si="24"/>
        <v>200</v>
      </c>
      <c r="J125" s="50"/>
      <c r="K125" s="7"/>
      <c r="L125" s="51">
        <f t="shared" si="25"/>
        <v>200</v>
      </c>
      <c r="M125" s="50"/>
      <c r="N125" s="7"/>
      <c r="O125" s="51">
        <f t="shared" si="26"/>
        <v>200</v>
      </c>
      <c r="P125" s="129"/>
      <c r="Q125" s="127">
        <f t="shared" si="17"/>
        <v>200</v>
      </c>
    </row>
    <row r="126" spans="1:17" ht="12.75">
      <c r="A126" s="70" t="s">
        <v>64</v>
      </c>
      <c r="B126" s="165"/>
      <c r="C126" s="184">
        <v>50038.4</v>
      </c>
      <c r="D126" s="182">
        <f>3800+141.22</f>
        <v>3941.22</v>
      </c>
      <c r="E126" s="182"/>
      <c r="F126" s="183">
        <f t="shared" si="23"/>
        <v>53979.62</v>
      </c>
      <c r="G126" s="228"/>
      <c r="H126" s="7"/>
      <c r="I126" s="51">
        <f t="shared" si="24"/>
        <v>53979.62</v>
      </c>
      <c r="J126" s="50"/>
      <c r="K126" s="7"/>
      <c r="L126" s="51">
        <f t="shared" si="25"/>
        <v>53979.62</v>
      </c>
      <c r="M126" s="50"/>
      <c r="N126" s="7"/>
      <c r="O126" s="51">
        <f t="shared" si="26"/>
        <v>53979.62</v>
      </c>
      <c r="P126" s="129"/>
      <c r="Q126" s="127">
        <f t="shared" si="17"/>
        <v>53979.62</v>
      </c>
    </row>
    <row r="127" spans="1:17" ht="12.75">
      <c r="A127" s="70" t="s">
        <v>70</v>
      </c>
      <c r="B127" s="165" t="s">
        <v>230</v>
      </c>
      <c r="C127" s="184">
        <v>352</v>
      </c>
      <c r="D127" s="182"/>
      <c r="E127" s="182"/>
      <c r="F127" s="183">
        <f t="shared" si="23"/>
        <v>352</v>
      </c>
      <c r="G127" s="228"/>
      <c r="H127" s="7"/>
      <c r="I127" s="51">
        <f t="shared" si="24"/>
        <v>352</v>
      </c>
      <c r="J127" s="50"/>
      <c r="K127" s="7"/>
      <c r="L127" s="51">
        <f t="shared" si="25"/>
        <v>352</v>
      </c>
      <c r="M127" s="50"/>
      <c r="N127" s="7"/>
      <c r="O127" s="51">
        <f t="shared" si="26"/>
        <v>352</v>
      </c>
      <c r="P127" s="129"/>
      <c r="Q127" s="127">
        <f t="shared" si="17"/>
        <v>352</v>
      </c>
    </row>
    <row r="128" spans="1:17" ht="12.75" hidden="1">
      <c r="A128" s="70" t="s">
        <v>71</v>
      </c>
      <c r="B128" s="165" t="s">
        <v>229</v>
      </c>
      <c r="C128" s="184"/>
      <c r="D128" s="182"/>
      <c r="E128" s="182"/>
      <c r="F128" s="183">
        <f t="shared" si="23"/>
        <v>0</v>
      </c>
      <c r="G128" s="228"/>
      <c r="H128" s="7"/>
      <c r="I128" s="51">
        <f t="shared" si="24"/>
        <v>0</v>
      </c>
      <c r="J128" s="50"/>
      <c r="K128" s="7"/>
      <c r="L128" s="51">
        <f t="shared" si="25"/>
        <v>0</v>
      </c>
      <c r="M128" s="50"/>
      <c r="N128" s="7"/>
      <c r="O128" s="51">
        <f t="shared" si="26"/>
        <v>0</v>
      </c>
      <c r="P128" s="129"/>
      <c r="Q128" s="127">
        <f t="shared" si="17"/>
        <v>0</v>
      </c>
    </row>
    <row r="129" spans="1:17" ht="12.75">
      <c r="A129" s="70" t="s">
        <v>72</v>
      </c>
      <c r="B129" s="165"/>
      <c r="C129" s="184">
        <v>60774.6</v>
      </c>
      <c r="D129" s="182"/>
      <c r="E129" s="182"/>
      <c r="F129" s="183">
        <f t="shared" si="23"/>
        <v>60774.6</v>
      </c>
      <c r="G129" s="228"/>
      <c r="H129" s="7"/>
      <c r="I129" s="51">
        <f t="shared" si="24"/>
        <v>60774.6</v>
      </c>
      <c r="J129" s="50"/>
      <c r="K129" s="7"/>
      <c r="L129" s="51">
        <f t="shared" si="25"/>
        <v>60774.6</v>
      </c>
      <c r="M129" s="50"/>
      <c r="N129" s="7"/>
      <c r="O129" s="51">
        <f t="shared" si="26"/>
        <v>60774.6</v>
      </c>
      <c r="P129" s="129"/>
      <c r="Q129" s="127">
        <f t="shared" si="17"/>
        <v>60774.6</v>
      </c>
    </row>
    <row r="130" spans="1:17" ht="12.75">
      <c r="A130" s="70" t="s">
        <v>94</v>
      </c>
      <c r="B130" s="165"/>
      <c r="C130" s="184"/>
      <c r="D130" s="182">
        <f>49.52</f>
        <v>49.52</v>
      </c>
      <c r="E130" s="182"/>
      <c r="F130" s="183">
        <f t="shared" si="23"/>
        <v>49.52</v>
      </c>
      <c r="G130" s="228"/>
      <c r="H130" s="7"/>
      <c r="I130" s="51">
        <f t="shared" si="24"/>
        <v>49.52</v>
      </c>
      <c r="J130" s="50"/>
      <c r="K130" s="7"/>
      <c r="L130" s="51">
        <f t="shared" si="25"/>
        <v>49.52</v>
      </c>
      <c r="M130" s="50"/>
      <c r="N130" s="7"/>
      <c r="O130" s="51">
        <f t="shared" si="26"/>
        <v>49.52</v>
      </c>
      <c r="P130" s="129"/>
      <c r="Q130" s="127">
        <f t="shared" si="17"/>
        <v>49.52</v>
      </c>
    </row>
    <row r="131" spans="1:17" ht="12.75" hidden="1">
      <c r="A131" s="70" t="s">
        <v>172</v>
      </c>
      <c r="B131" s="165"/>
      <c r="C131" s="184"/>
      <c r="D131" s="182"/>
      <c r="E131" s="182"/>
      <c r="F131" s="183">
        <f t="shared" si="23"/>
        <v>0</v>
      </c>
      <c r="G131" s="228"/>
      <c r="H131" s="7"/>
      <c r="I131" s="51">
        <f t="shared" si="24"/>
        <v>0</v>
      </c>
      <c r="J131" s="50"/>
      <c r="K131" s="7"/>
      <c r="L131" s="51">
        <f t="shared" si="25"/>
        <v>0</v>
      </c>
      <c r="M131" s="50"/>
      <c r="N131" s="7"/>
      <c r="O131" s="51">
        <f t="shared" si="26"/>
        <v>0</v>
      </c>
      <c r="P131" s="129"/>
      <c r="Q131" s="127">
        <f t="shared" si="17"/>
        <v>0</v>
      </c>
    </row>
    <row r="132" spans="1:17" ht="12.75" hidden="1">
      <c r="A132" s="166" t="s">
        <v>194</v>
      </c>
      <c r="B132" s="165"/>
      <c r="C132" s="184"/>
      <c r="D132" s="182"/>
      <c r="E132" s="182"/>
      <c r="F132" s="183">
        <f t="shared" si="23"/>
        <v>0</v>
      </c>
      <c r="G132" s="228"/>
      <c r="H132" s="7"/>
      <c r="I132" s="51">
        <f t="shared" si="24"/>
        <v>0</v>
      </c>
      <c r="J132" s="50"/>
      <c r="K132" s="7"/>
      <c r="L132" s="51">
        <f t="shared" si="25"/>
        <v>0</v>
      </c>
      <c r="M132" s="50"/>
      <c r="N132" s="7"/>
      <c r="O132" s="51">
        <f t="shared" si="26"/>
        <v>0</v>
      </c>
      <c r="P132" s="129"/>
      <c r="Q132" s="127">
        <f t="shared" si="17"/>
        <v>0</v>
      </c>
    </row>
    <row r="133" spans="1:17" ht="12.75" hidden="1">
      <c r="A133" s="70" t="s">
        <v>233</v>
      </c>
      <c r="B133" s="165">
        <v>1007</v>
      </c>
      <c r="C133" s="184"/>
      <c r="D133" s="182"/>
      <c r="E133" s="182"/>
      <c r="F133" s="183">
        <f t="shared" si="23"/>
        <v>0</v>
      </c>
      <c r="G133" s="228"/>
      <c r="H133" s="7"/>
      <c r="I133" s="51"/>
      <c r="J133" s="50"/>
      <c r="K133" s="7"/>
      <c r="L133" s="51"/>
      <c r="M133" s="50"/>
      <c r="N133" s="7"/>
      <c r="O133" s="51"/>
      <c r="P133" s="129"/>
      <c r="Q133" s="127"/>
    </row>
    <row r="134" spans="1:17" ht="12.75" hidden="1">
      <c r="A134" s="70" t="s">
        <v>266</v>
      </c>
      <c r="B134" s="165">
        <v>13234</v>
      </c>
      <c r="C134" s="184"/>
      <c r="D134" s="182"/>
      <c r="E134" s="182"/>
      <c r="F134" s="183">
        <f t="shared" si="23"/>
        <v>0</v>
      </c>
      <c r="G134" s="228"/>
      <c r="H134" s="7"/>
      <c r="I134" s="51"/>
      <c r="J134" s="50"/>
      <c r="K134" s="7"/>
      <c r="L134" s="51"/>
      <c r="M134" s="50"/>
      <c r="N134" s="7"/>
      <c r="O134" s="51"/>
      <c r="P134" s="129"/>
      <c r="Q134" s="127"/>
    </row>
    <row r="135" spans="1:17" ht="12.75" hidden="1">
      <c r="A135" s="70" t="s">
        <v>73</v>
      </c>
      <c r="B135" s="165"/>
      <c r="C135" s="184"/>
      <c r="D135" s="182"/>
      <c r="E135" s="182"/>
      <c r="F135" s="183">
        <f t="shared" si="23"/>
        <v>0</v>
      </c>
      <c r="G135" s="228"/>
      <c r="H135" s="7"/>
      <c r="I135" s="51">
        <f t="shared" si="24"/>
        <v>0</v>
      </c>
      <c r="J135" s="50"/>
      <c r="K135" s="7"/>
      <c r="L135" s="51">
        <f t="shared" si="25"/>
        <v>0</v>
      </c>
      <c r="M135" s="50"/>
      <c r="N135" s="7"/>
      <c r="O135" s="51">
        <f t="shared" si="26"/>
        <v>0</v>
      </c>
      <c r="P135" s="129"/>
      <c r="Q135" s="127">
        <f t="shared" si="17"/>
        <v>0</v>
      </c>
    </row>
    <row r="136" spans="1:17" ht="12.75" hidden="1">
      <c r="A136" s="70" t="s">
        <v>74</v>
      </c>
      <c r="B136" s="165">
        <v>98074</v>
      </c>
      <c r="C136" s="184"/>
      <c r="D136" s="182"/>
      <c r="E136" s="182"/>
      <c r="F136" s="183">
        <f t="shared" si="23"/>
        <v>0</v>
      </c>
      <c r="G136" s="228"/>
      <c r="H136" s="7"/>
      <c r="I136" s="51">
        <f t="shared" si="24"/>
        <v>0</v>
      </c>
      <c r="J136" s="50"/>
      <c r="K136" s="7"/>
      <c r="L136" s="51">
        <f t="shared" si="25"/>
        <v>0</v>
      </c>
      <c r="M136" s="50"/>
      <c r="N136" s="7"/>
      <c r="O136" s="51">
        <f t="shared" si="26"/>
        <v>0</v>
      </c>
      <c r="P136" s="129"/>
      <c r="Q136" s="127">
        <f t="shared" si="17"/>
        <v>0</v>
      </c>
    </row>
    <row r="137" spans="1:17" ht="12.75" hidden="1">
      <c r="A137" s="70" t="s">
        <v>75</v>
      </c>
      <c r="B137" s="165"/>
      <c r="C137" s="184"/>
      <c r="D137" s="182"/>
      <c r="E137" s="182"/>
      <c r="F137" s="183">
        <f t="shared" si="23"/>
        <v>0</v>
      </c>
      <c r="G137" s="228"/>
      <c r="H137" s="7"/>
      <c r="I137" s="51">
        <f t="shared" si="24"/>
        <v>0</v>
      </c>
      <c r="J137" s="50"/>
      <c r="K137" s="7"/>
      <c r="L137" s="51">
        <f t="shared" si="25"/>
        <v>0</v>
      </c>
      <c r="M137" s="50"/>
      <c r="N137" s="7"/>
      <c r="O137" s="51">
        <f t="shared" si="26"/>
        <v>0</v>
      </c>
      <c r="P137" s="129"/>
      <c r="Q137" s="127">
        <f t="shared" si="17"/>
        <v>0</v>
      </c>
    </row>
    <row r="138" spans="1:17" ht="12.75" hidden="1">
      <c r="A138" s="70" t="s">
        <v>76</v>
      </c>
      <c r="B138" s="165">
        <v>4001</v>
      </c>
      <c r="C138" s="184"/>
      <c r="D138" s="182"/>
      <c r="E138" s="182"/>
      <c r="F138" s="183">
        <f t="shared" si="23"/>
        <v>0</v>
      </c>
      <c r="G138" s="228"/>
      <c r="H138" s="7"/>
      <c r="I138" s="51">
        <f t="shared" si="24"/>
        <v>0</v>
      </c>
      <c r="J138" s="50"/>
      <c r="K138" s="7"/>
      <c r="L138" s="51">
        <f t="shared" si="25"/>
        <v>0</v>
      </c>
      <c r="M138" s="50"/>
      <c r="N138" s="7"/>
      <c r="O138" s="51">
        <f t="shared" si="26"/>
        <v>0</v>
      </c>
      <c r="P138" s="129"/>
      <c r="Q138" s="127">
        <f t="shared" si="17"/>
        <v>0</v>
      </c>
    </row>
    <row r="139" spans="1:17" ht="12.75">
      <c r="A139" s="76" t="s">
        <v>67</v>
      </c>
      <c r="B139" s="169"/>
      <c r="C139" s="191">
        <f>C142+C141</f>
        <v>0</v>
      </c>
      <c r="D139" s="192">
        <f>D142+D141</f>
        <v>2054.74</v>
      </c>
      <c r="E139" s="192">
        <f>E142+E141</f>
        <v>0</v>
      </c>
      <c r="F139" s="193">
        <f>F142+F141</f>
        <v>2054.74</v>
      </c>
      <c r="G139" s="231"/>
      <c r="H139" s="12"/>
      <c r="I139" s="59">
        <f>I142+I141</f>
        <v>2054.74</v>
      </c>
      <c r="J139" s="58"/>
      <c r="K139" s="12"/>
      <c r="L139" s="59">
        <f aca="true" t="shared" si="27" ref="L139:Q139">L142+L141</f>
        <v>2054.74</v>
      </c>
      <c r="M139" s="58"/>
      <c r="N139" s="12"/>
      <c r="O139" s="59">
        <f t="shared" si="27"/>
        <v>2054.74</v>
      </c>
      <c r="P139" s="134"/>
      <c r="Q139" s="108">
        <f t="shared" si="27"/>
        <v>2054.74</v>
      </c>
    </row>
    <row r="140" spans="1:17" ht="12.75">
      <c r="A140" s="72" t="s">
        <v>33</v>
      </c>
      <c r="B140" s="165"/>
      <c r="C140" s="184"/>
      <c r="D140" s="182"/>
      <c r="E140" s="182"/>
      <c r="F140" s="181"/>
      <c r="G140" s="228"/>
      <c r="H140" s="7"/>
      <c r="I140" s="49"/>
      <c r="J140" s="50"/>
      <c r="K140" s="7"/>
      <c r="L140" s="49"/>
      <c r="M140" s="50"/>
      <c r="N140" s="7"/>
      <c r="O140" s="49"/>
      <c r="P140" s="129"/>
      <c r="Q140" s="127"/>
    </row>
    <row r="141" spans="1:17" ht="12.75" hidden="1">
      <c r="A141" s="69" t="s">
        <v>68</v>
      </c>
      <c r="B141" s="165"/>
      <c r="C141" s="184"/>
      <c r="D141" s="182"/>
      <c r="E141" s="195"/>
      <c r="F141" s="183">
        <f>C141+D141+E141</f>
        <v>0</v>
      </c>
      <c r="G141" s="228"/>
      <c r="H141" s="7"/>
      <c r="I141" s="51">
        <f>F141+G141+H141</f>
        <v>0</v>
      </c>
      <c r="J141" s="50"/>
      <c r="K141" s="7"/>
      <c r="L141" s="51">
        <f>I141+J141+K141</f>
        <v>0</v>
      </c>
      <c r="M141" s="50"/>
      <c r="N141" s="7"/>
      <c r="O141" s="51">
        <f>L141+M141+N141</f>
        <v>0</v>
      </c>
      <c r="P141" s="129"/>
      <c r="Q141" s="127">
        <f t="shared" si="17"/>
        <v>0</v>
      </c>
    </row>
    <row r="142" spans="1:17" ht="12.75">
      <c r="A142" s="73" t="s">
        <v>95</v>
      </c>
      <c r="B142" s="168"/>
      <c r="C142" s="194"/>
      <c r="D142" s="195">
        <f>1488.3+566.44</f>
        <v>2054.74</v>
      </c>
      <c r="E142" s="195"/>
      <c r="F142" s="246">
        <f>C142+D142+E142</f>
        <v>2054.74</v>
      </c>
      <c r="G142" s="16"/>
      <c r="H142" s="10"/>
      <c r="I142" s="55">
        <f>F142+G142+H142</f>
        <v>2054.74</v>
      </c>
      <c r="J142" s="54"/>
      <c r="K142" s="10"/>
      <c r="L142" s="55">
        <f>I142+J142+K142</f>
        <v>2054.74</v>
      </c>
      <c r="M142" s="54"/>
      <c r="N142" s="10"/>
      <c r="O142" s="55">
        <f>L142+M142+N142</f>
        <v>2054.74</v>
      </c>
      <c r="P142" s="142"/>
      <c r="Q142" s="143">
        <f t="shared" si="17"/>
        <v>2054.74</v>
      </c>
    </row>
    <row r="143" spans="1:17" ht="12.75">
      <c r="A143" s="67" t="s">
        <v>77</v>
      </c>
      <c r="B143" s="169"/>
      <c r="C143" s="179">
        <f>C144+C153</f>
        <v>64180</v>
      </c>
      <c r="D143" s="180">
        <f>D144+D153</f>
        <v>79169.70999999999</v>
      </c>
      <c r="E143" s="180">
        <f>E144+E153</f>
        <v>0</v>
      </c>
      <c r="F143" s="181">
        <f>F144+F153</f>
        <v>143349.71</v>
      </c>
      <c r="G143" s="227"/>
      <c r="H143" s="6"/>
      <c r="I143" s="49">
        <f>I144+I153</f>
        <v>99449.70999999999</v>
      </c>
      <c r="J143" s="48"/>
      <c r="K143" s="6"/>
      <c r="L143" s="49">
        <f>L144+L153</f>
        <v>99449.70999999999</v>
      </c>
      <c r="M143" s="48"/>
      <c r="N143" s="6"/>
      <c r="O143" s="49">
        <f>O144+O153</f>
        <v>99449.70999999999</v>
      </c>
      <c r="P143" s="130"/>
      <c r="Q143" s="107">
        <f>Q144+Q153</f>
        <v>99449.70999999999</v>
      </c>
    </row>
    <row r="144" spans="1:17" ht="12.75">
      <c r="A144" s="76" t="s">
        <v>62</v>
      </c>
      <c r="B144" s="169"/>
      <c r="C144" s="191">
        <f>SUM(C146:C151)</f>
        <v>19180</v>
      </c>
      <c r="D144" s="192">
        <f>SUM(D146:D151)</f>
        <v>31510.010000000002</v>
      </c>
      <c r="E144" s="192">
        <f>SUM(E146:E151)</f>
        <v>0</v>
      </c>
      <c r="F144" s="193">
        <f>SUM(F146:F151)</f>
        <v>50690.01</v>
      </c>
      <c r="G144" s="231"/>
      <c r="H144" s="12"/>
      <c r="I144" s="59">
        <f>SUM(I146:I151)</f>
        <v>21690.010000000002</v>
      </c>
      <c r="J144" s="58"/>
      <c r="K144" s="12"/>
      <c r="L144" s="59">
        <f>SUM(L146:L151)</f>
        <v>21690.010000000002</v>
      </c>
      <c r="M144" s="58"/>
      <c r="N144" s="12"/>
      <c r="O144" s="59">
        <f>SUM(O146:O151)</f>
        <v>21690.010000000002</v>
      </c>
      <c r="P144" s="134"/>
      <c r="Q144" s="108">
        <f>SUM(Q146:Q151)</f>
        <v>21690.010000000002</v>
      </c>
    </row>
    <row r="145" spans="1:17" ht="12.75">
      <c r="A145" s="72" t="s">
        <v>33</v>
      </c>
      <c r="B145" s="165"/>
      <c r="C145" s="184"/>
      <c r="D145" s="182"/>
      <c r="E145" s="182"/>
      <c r="F145" s="181"/>
      <c r="G145" s="228"/>
      <c r="H145" s="7"/>
      <c r="I145" s="49"/>
      <c r="J145" s="50"/>
      <c r="K145" s="7"/>
      <c r="L145" s="49"/>
      <c r="M145" s="50"/>
      <c r="N145" s="7"/>
      <c r="O145" s="49"/>
      <c r="P145" s="129"/>
      <c r="Q145" s="127"/>
    </row>
    <row r="146" spans="1:17" ht="12.75">
      <c r="A146" s="70" t="s">
        <v>64</v>
      </c>
      <c r="B146" s="165"/>
      <c r="C146" s="184">
        <v>19180</v>
      </c>
      <c r="D146" s="182">
        <f>-49.87-50</f>
        <v>-99.87</v>
      </c>
      <c r="E146" s="182"/>
      <c r="F146" s="183">
        <f aca="true" t="shared" si="28" ref="F146:F152">C146+D146+E146</f>
        <v>19080.13</v>
      </c>
      <c r="G146" s="228"/>
      <c r="H146" s="7"/>
      <c r="I146" s="51">
        <f aca="true" t="shared" si="29" ref="I146:I152">F146+G146+H146</f>
        <v>19080.13</v>
      </c>
      <c r="J146" s="50"/>
      <c r="K146" s="7"/>
      <c r="L146" s="51">
        <f aca="true" t="shared" si="30" ref="L146:L152">I146+J146+K146</f>
        <v>19080.13</v>
      </c>
      <c r="M146" s="50"/>
      <c r="N146" s="7"/>
      <c r="O146" s="51">
        <f aca="true" t="shared" si="31" ref="O146:O152">L146+M146+N146</f>
        <v>19080.13</v>
      </c>
      <c r="P146" s="129"/>
      <c r="Q146" s="127">
        <f t="shared" si="17"/>
        <v>19080.13</v>
      </c>
    </row>
    <row r="147" spans="1:17" ht="12.75" hidden="1">
      <c r="A147" s="70" t="s">
        <v>79</v>
      </c>
      <c r="B147" s="165"/>
      <c r="C147" s="184"/>
      <c r="D147" s="182"/>
      <c r="E147" s="182"/>
      <c r="F147" s="183">
        <f t="shared" si="28"/>
        <v>0</v>
      </c>
      <c r="G147" s="228"/>
      <c r="H147" s="7"/>
      <c r="I147" s="51">
        <f t="shared" si="29"/>
        <v>0</v>
      </c>
      <c r="J147" s="50"/>
      <c r="K147" s="7"/>
      <c r="L147" s="51">
        <f t="shared" si="30"/>
        <v>0</v>
      </c>
      <c r="M147" s="50"/>
      <c r="N147" s="7"/>
      <c r="O147" s="51">
        <f t="shared" si="31"/>
        <v>0</v>
      </c>
      <c r="P147" s="129"/>
      <c r="Q147" s="127">
        <f t="shared" si="17"/>
        <v>0</v>
      </c>
    </row>
    <row r="148" spans="1:17" ht="12.75">
      <c r="A148" s="74" t="s">
        <v>274</v>
      </c>
      <c r="B148" s="165"/>
      <c r="C148" s="184"/>
      <c r="D148" s="182">
        <f>29000</f>
        <v>29000</v>
      </c>
      <c r="E148" s="182"/>
      <c r="F148" s="183">
        <f t="shared" si="28"/>
        <v>29000</v>
      </c>
      <c r="G148" s="228"/>
      <c r="H148" s="7"/>
      <c r="I148" s="51"/>
      <c r="J148" s="50"/>
      <c r="K148" s="7"/>
      <c r="L148" s="51"/>
      <c r="M148" s="50"/>
      <c r="N148" s="7"/>
      <c r="O148" s="51"/>
      <c r="P148" s="129"/>
      <c r="Q148" s="127"/>
    </row>
    <row r="149" spans="1:17" ht="12.75">
      <c r="A149" s="70" t="s">
        <v>80</v>
      </c>
      <c r="B149" s="165">
        <v>98278</v>
      </c>
      <c r="C149" s="184"/>
      <c r="D149" s="182">
        <f>43.5</f>
        <v>43.5</v>
      </c>
      <c r="E149" s="182"/>
      <c r="F149" s="183">
        <f t="shared" si="28"/>
        <v>43.5</v>
      </c>
      <c r="G149" s="228"/>
      <c r="H149" s="7"/>
      <c r="I149" s="51">
        <f t="shared" si="29"/>
        <v>43.5</v>
      </c>
      <c r="J149" s="50"/>
      <c r="K149" s="7"/>
      <c r="L149" s="51">
        <f t="shared" si="30"/>
        <v>43.5</v>
      </c>
      <c r="M149" s="50"/>
      <c r="N149" s="7"/>
      <c r="O149" s="51">
        <f t="shared" si="31"/>
        <v>43.5</v>
      </c>
      <c r="P149" s="129"/>
      <c r="Q149" s="127">
        <f t="shared" si="17"/>
        <v>43.5</v>
      </c>
    </row>
    <row r="150" spans="1:17" ht="12.75" hidden="1">
      <c r="A150" s="70" t="s">
        <v>94</v>
      </c>
      <c r="B150" s="165"/>
      <c r="C150" s="184"/>
      <c r="D150" s="182"/>
      <c r="E150" s="182"/>
      <c r="F150" s="183">
        <f t="shared" si="28"/>
        <v>0</v>
      </c>
      <c r="G150" s="228"/>
      <c r="H150" s="7"/>
      <c r="I150" s="51">
        <f t="shared" si="29"/>
        <v>0</v>
      </c>
      <c r="J150" s="50"/>
      <c r="K150" s="7"/>
      <c r="L150" s="51">
        <f t="shared" si="30"/>
        <v>0</v>
      </c>
      <c r="M150" s="50"/>
      <c r="N150" s="7"/>
      <c r="O150" s="51">
        <f t="shared" si="31"/>
        <v>0</v>
      </c>
      <c r="P150" s="129"/>
      <c r="Q150" s="127">
        <f aca="true" t="shared" si="32" ref="Q150:Q209">O150+P150</f>
        <v>0</v>
      </c>
    </row>
    <row r="151" spans="1:17" ht="12.75">
      <c r="A151" s="69" t="s">
        <v>81</v>
      </c>
      <c r="B151" s="165"/>
      <c r="C151" s="184"/>
      <c r="D151" s="182">
        <f>2500+66.38</f>
        <v>2566.38</v>
      </c>
      <c r="E151" s="182"/>
      <c r="F151" s="183">
        <f t="shared" si="28"/>
        <v>2566.38</v>
      </c>
      <c r="G151" s="228"/>
      <c r="H151" s="7"/>
      <c r="I151" s="51">
        <f t="shared" si="29"/>
        <v>2566.38</v>
      </c>
      <c r="J151" s="50"/>
      <c r="K151" s="7"/>
      <c r="L151" s="51">
        <f t="shared" si="30"/>
        <v>2566.38</v>
      </c>
      <c r="M151" s="50"/>
      <c r="N151" s="7"/>
      <c r="O151" s="51">
        <f t="shared" si="31"/>
        <v>2566.38</v>
      </c>
      <c r="P151" s="129"/>
      <c r="Q151" s="127">
        <f t="shared" si="32"/>
        <v>2566.38</v>
      </c>
    </row>
    <row r="152" spans="1:17" ht="12.75">
      <c r="A152" s="69" t="s">
        <v>82</v>
      </c>
      <c r="B152" s="165"/>
      <c r="C152" s="184"/>
      <c r="D152" s="182">
        <f>66.38+2500</f>
        <v>2566.38</v>
      </c>
      <c r="E152" s="182"/>
      <c r="F152" s="183">
        <f t="shared" si="28"/>
        <v>2566.38</v>
      </c>
      <c r="G152" s="228"/>
      <c r="H152" s="7"/>
      <c r="I152" s="51">
        <f t="shared" si="29"/>
        <v>2566.38</v>
      </c>
      <c r="J152" s="50"/>
      <c r="K152" s="7"/>
      <c r="L152" s="51">
        <f t="shared" si="30"/>
        <v>2566.38</v>
      </c>
      <c r="M152" s="50"/>
      <c r="N152" s="7"/>
      <c r="O152" s="51">
        <f t="shared" si="31"/>
        <v>2566.38</v>
      </c>
      <c r="P152" s="129"/>
      <c r="Q152" s="127">
        <f t="shared" si="32"/>
        <v>2566.38</v>
      </c>
    </row>
    <row r="153" spans="1:17" ht="12.75">
      <c r="A153" s="77" t="s">
        <v>67</v>
      </c>
      <c r="B153" s="169"/>
      <c r="C153" s="196">
        <f>SUM(C155:C160)</f>
        <v>45000</v>
      </c>
      <c r="D153" s="197">
        <f>SUM(D155:D160)</f>
        <v>47659.7</v>
      </c>
      <c r="E153" s="197">
        <f>SUM(E155:E160)</f>
        <v>0</v>
      </c>
      <c r="F153" s="198">
        <f>SUM(F155:F160)</f>
        <v>92659.7</v>
      </c>
      <c r="G153" s="117"/>
      <c r="H153" s="13"/>
      <c r="I153" s="61">
        <f>SUM(I155:I160)</f>
        <v>77759.7</v>
      </c>
      <c r="J153" s="60"/>
      <c r="K153" s="13"/>
      <c r="L153" s="61">
        <f>SUM(L155:L160)</f>
        <v>77759.7</v>
      </c>
      <c r="M153" s="60"/>
      <c r="N153" s="13"/>
      <c r="O153" s="61">
        <f>SUM(O155:O160)</f>
        <v>77759.7</v>
      </c>
      <c r="P153" s="135"/>
      <c r="Q153" s="120">
        <f>SUM(Q155:Q160)</f>
        <v>77759.7</v>
      </c>
    </row>
    <row r="154" spans="1:17" ht="12.75">
      <c r="A154" s="68" t="s">
        <v>33</v>
      </c>
      <c r="B154" s="165"/>
      <c r="C154" s="185"/>
      <c r="D154" s="186"/>
      <c r="E154" s="186"/>
      <c r="F154" s="187"/>
      <c r="G154" s="17"/>
      <c r="H154" s="8"/>
      <c r="I154" s="53"/>
      <c r="J154" s="52"/>
      <c r="K154" s="8"/>
      <c r="L154" s="53"/>
      <c r="M154" s="52"/>
      <c r="N154" s="8"/>
      <c r="O154" s="53"/>
      <c r="P154" s="129"/>
      <c r="Q154" s="127"/>
    </row>
    <row r="155" spans="1:17" ht="12.75">
      <c r="A155" s="69" t="s">
        <v>83</v>
      </c>
      <c r="B155" s="165"/>
      <c r="C155" s="184"/>
      <c r="D155" s="182">
        <f>16560+49.87+5000</f>
        <v>21609.87</v>
      </c>
      <c r="E155" s="182"/>
      <c r="F155" s="183">
        <f aca="true" t="shared" si="33" ref="F155:F161">C155+D155+E155</f>
        <v>21609.87</v>
      </c>
      <c r="G155" s="228"/>
      <c r="H155" s="7"/>
      <c r="I155" s="51">
        <f>F155+G155+H155</f>
        <v>21609.87</v>
      </c>
      <c r="J155" s="50"/>
      <c r="K155" s="7"/>
      <c r="L155" s="51">
        <f>I155+J155+K155</f>
        <v>21609.87</v>
      </c>
      <c r="M155" s="50"/>
      <c r="N155" s="7"/>
      <c r="O155" s="51">
        <f>L155+M155+N155</f>
        <v>21609.87</v>
      </c>
      <c r="P155" s="129"/>
      <c r="Q155" s="127">
        <f t="shared" si="32"/>
        <v>21609.87</v>
      </c>
    </row>
    <row r="156" spans="1:17" ht="12.75">
      <c r="A156" s="74" t="s">
        <v>341</v>
      </c>
      <c r="B156" s="165"/>
      <c r="C156" s="184"/>
      <c r="D156" s="182">
        <v>10000</v>
      </c>
      <c r="E156" s="182"/>
      <c r="F156" s="183">
        <f t="shared" si="33"/>
        <v>10000</v>
      </c>
      <c r="G156" s="228"/>
      <c r="H156" s="7"/>
      <c r="I156" s="51"/>
      <c r="J156" s="50"/>
      <c r="K156" s="7"/>
      <c r="L156" s="51"/>
      <c r="M156" s="50"/>
      <c r="N156" s="7"/>
      <c r="O156" s="51"/>
      <c r="P156" s="129"/>
      <c r="Q156" s="127"/>
    </row>
    <row r="157" spans="1:17" ht="12.75">
      <c r="A157" s="69" t="s">
        <v>68</v>
      </c>
      <c r="B157" s="165"/>
      <c r="C157" s="184"/>
      <c r="D157" s="182">
        <f>4900</f>
        <v>4900</v>
      </c>
      <c r="E157" s="182"/>
      <c r="F157" s="183">
        <f t="shared" si="33"/>
        <v>4900</v>
      </c>
      <c r="G157" s="228"/>
      <c r="H157" s="7"/>
      <c r="I157" s="51"/>
      <c r="J157" s="50"/>
      <c r="K157" s="7"/>
      <c r="L157" s="51"/>
      <c r="M157" s="50"/>
      <c r="N157" s="7"/>
      <c r="O157" s="51"/>
      <c r="P157" s="129"/>
      <c r="Q157" s="127"/>
    </row>
    <row r="158" spans="1:17" ht="12.75" hidden="1">
      <c r="A158" s="70" t="s">
        <v>272</v>
      </c>
      <c r="B158" s="165"/>
      <c r="C158" s="184"/>
      <c r="D158" s="182"/>
      <c r="E158" s="182"/>
      <c r="F158" s="183">
        <f t="shared" si="33"/>
        <v>0</v>
      </c>
      <c r="G158" s="228"/>
      <c r="H158" s="7"/>
      <c r="I158" s="51"/>
      <c r="J158" s="50"/>
      <c r="K158" s="7"/>
      <c r="L158" s="51"/>
      <c r="M158" s="50"/>
      <c r="N158" s="7"/>
      <c r="O158" s="51"/>
      <c r="P158" s="129"/>
      <c r="Q158" s="127"/>
    </row>
    <row r="159" spans="1:17" ht="12.75" hidden="1">
      <c r="A159" s="70" t="s">
        <v>94</v>
      </c>
      <c r="B159" s="165"/>
      <c r="C159" s="184"/>
      <c r="D159" s="182"/>
      <c r="E159" s="182"/>
      <c r="F159" s="183">
        <f t="shared" si="33"/>
        <v>0</v>
      </c>
      <c r="G159" s="228"/>
      <c r="H159" s="7"/>
      <c r="I159" s="51">
        <f>F159+G159+H159</f>
        <v>0</v>
      </c>
      <c r="J159" s="50"/>
      <c r="K159" s="7"/>
      <c r="L159" s="51">
        <f>I159+J159+K159</f>
        <v>0</v>
      </c>
      <c r="M159" s="50"/>
      <c r="N159" s="7"/>
      <c r="O159" s="51">
        <f>L159+M159+N159</f>
        <v>0</v>
      </c>
      <c r="P159" s="129"/>
      <c r="Q159" s="127">
        <f t="shared" si="32"/>
        <v>0</v>
      </c>
    </row>
    <row r="160" spans="1:17" ht="12.75">
      <c r="A160" s="69" t="s">
        <v>81</v>
      </c>
      <c r="B160" s="165"/>
      <c r="C160" s="184">
        <v>45000</v>
      </c>
      <c r="D160" s="182">
        <f>11216.21-66.38</f>
        <v>11149.83</v>
      </c>
      <c r="E160" s="182"/>
      <c r="F160" s="183">
        <f t="shared" si="33"/>
        <v>56149.83</v>
      </c>
      <c r="G160" s="228"/>
      <c r="H160" s="7"/>
      <c r="I160" s="51">
        <f>F160+G160+H160</f>
        <v>56149.83</v>
      </c>
      <c r="J160" s="50"/>
      <c r="K160" s="7"/>
      <c r="L160" s="51">
        <f>I160+J160+K160</f>
        <v>56149.83</v>
      </c>
      <c r="M160" s="50"/>
      <c r="N160" s="7"/>
      <c r="O160" s="51">
        <f>L160+M160+N160</f>
        <v>56149.83</v>
      </c>
      <c r="P160" s="129"/>
      <c r="Q160" s="127">
        <f t="shared" si="32"/>
        <v>56149.83</v>
      </c>
    </row>
    <row r="161" spans="1:17" ht="12.75">
      <c r="A161" s="78" t="s">
        <v>84</v>
      </c>
      <c r="B161" s="168"/>
      <c r="C161" s="194"/>
      <c r="D161" s="195">
        <v>11149.83</v>
      </c>
      <c r="E161" s="195"/>
      <c r="F161" s="246">
        <f t="shared" si="33"/>
        <v>11149.83</v>
      </c>
      <c r="G161" s="16"/>
      <c r="H161" s="10"/>
      <c r="I161" s="55">
        <f>F161+G161+H161</f>
        <v>11149.83</v>
      </c>
      <c r="J161" s="54"/>
      <c r="K161" s="10"/>
      <c r="L161" s="55">
        <f>I161+J161+K161</f>
        <v>11149.83</v>
      </c>
      <c r="M161" s="54"/>
      <c r="N161" s="10"/>
      <c r="O161" s="55">
        <f>L161+M161+N161</f>
        <v>11149.83</v>
      </c>
      <c r="P161" s="142"/>
      <c r="Q161" s="143">
        <f t="shared" si="32"/>
        <v>11149.83</v>
      </c>
    </row>
    <row r="162" spans="1:17" ht="12.75">
      <c r="A162" s="71" t="s">
        <v>85</v>
      </c>
      <c r="B162" s="169"/>
      <c r="C162" s="185">
        <f>C163+C168</f>
        <v>7660</v>
      </c>
      <c r="D162" s="186">
        <f>D163+D168</f>
        <v>3578.35</v>
      </c>
      <c r="E162" s="186">
        <f>E163+E168</f>
        <v>0</v>
      </c>
      <c r="F162" s="187">
        <f>F163+F168</f>
        <v>11238.35</v>
      </c>
      <c r="G162" s="17"/>
      <c r="H162" s="8"/>
      <c r="I162" s="53" t="e">
        <f>I163+I168</f>
        <v>#REF!</v>
      </c>
      <c r="J162" s="52"/>
      <c r="K162" s="8"/>
      <c r="L162" s="53" t="e">
        <f>L163+L168</f>
        <v>#REF!</v>
      </c>
      <c r="M162" s="52"/>
      <c r="N162" s="8"/>
      <c r="O162" s="53" t="e">
        <f>O163+O168</f>
        <v>#REF!</v>
      </c>
      <c r="P162" s="132"/>
      <c r="Q162" s="63" t="e">
        <f>Q163+Q168</f>
        <v>#REF!</v>
      </c>
    </row>
    <row r="163" spans="1:17" ht="12.75">
      <c r="A163" s="76" t="s">
        <v>62</v>
      </c>
      <c r="B163" s="169"/>
      <c r="C163" s="191">
        <f>SUM(C165:C167)</f>
        <v>7660</v>
      </c>
      <c r="D163" s="192">
        <f>SUM(D165:D167)</f>
        <v>3578.35</v>
      </c>
      <c r="E163" s="192">
        <f>SUM(E165:E167)</f>
        <v>0</v>
      </c>
      <c r="F163" s="193">
        <f>SUM(F165:F167)</f>
        <v>11238.35</v>
      </c>
      <c r="G163" s="231"/>
      <c r="H163" s="12"/>
      <c r="I163" s="59">
        <f>SUM(I165:I167)</f>
        <v>11238.35</v>
      </c>
      <c r="J163" s="58"/>
      <c r="K163" s="12"/>
      <c r="L163" s="59">
        <f>SUM(L165:L167)</f>
        <v>11238.35</v>
      </c>
      <c r="M163" s="58"/>
      <c r="N163" s="12"/>
      <c r="O163" s="59">
        <f>SUM(O165:O167)</f>
        <v>11238.35</v>
      </c>
      <c r="P163" s="134"/>
      <c r="Q163" s="108">
        <f>SUM(Q165:Q167)</f>
        <v>11238.35</v>
      </c>
    </row>
    <row r="164" spans="1:17" ht="12.75">
      <c r="A164" s="72" t="s">
        <v>33</v>
      </c>
      <c r="B164" s="165"/>
      <c r="C164" s="184"/>
      <c r="D164" s="182"/>
      <c r="E164" s="182"/>
      <c r="F164" s="181"/>
      <c r="G164" s="228"/>
      <c r="H164" s="7"/>
      <c r="I164" s="49"/>
      <c r="J164" s="50"/>
      <c r="K164" s="7"/>
      <c r="L164" s="49"/>
      <c r="M164" s="50"/>
      <c r="N164" s="7"/>
      <c r="O164" s="49"/>
      <c r="P164" s="129"/>
      <c r="Q164" s="127"/>
    </row>
    <row r="165" spans="1:17" ht="12.75">
      <c r="A165" s="70" t="s">
        <v>64</v>
      </c>
      <c r="B165" s="165"/>
      <c r="C165" s="184">
        <v>7660</v>
      </c>
      <c r="D165" s="182">
        <f>2205.35</f>
        <v>2205.35</v>
      </c>
      <c r="E165" s="182"/>
      <c r="F165" s="183">
        <f>C165+D165+E165</f>
        <v>9865.35</v>
      </c>
      <c r="G165" s="228"/>
      <c r="H165" s="7"/>
      <c r="I165" s="51">
        <f>SUM(F165:H165)</f>
        <v>9865.35</v>
      </c>
      <c r="J165" s="50"/>
      <c r="K165" s="7"/>
      <c r="L165" s="51">
        <f>I165+J165+K165</f>
        <v>9865.35</v>
      </c>
      <c r="M165" s="50"/>
      <c r="N165" s="7"/>
      <c r="O165" s="51">
        <f>L165+M165+N165</f>
        <v>9865.35</v>
      </c>
      <c r="P165" s="129"/>
      <c r="Q165" s="127">
        <f t="shared" si="32"/>
        <v>9865.35</v>
      </c>
    </row>
    <row r="166" spans="1:17" ht="12.75">
      <c r="A166" s="81" t="s">
        <v>86</v>
      </c>
      <c r="B166" s="168">
        <v>33166</v>
      </c>
      <c r="C166" s="194"/>
      <c r="D166" s="195">
        <f>1373</f>
        <v>1373</v>
      </c>
      <c r="E166" s="195"/>
      <c r="F166" s="246">
        <f>C166+D166+E166</f>
        <v>1373</v>
      </c>
      <c r="G166" s="228"/>
      <c r="H166" s="7"/>
      <c r="I166" s="51">
        <f>SUM(F166:H166)</f>
        <v>1373</v>
      </c>
      <c r="J166" s="50"/>
      <c r="K166" s="7"/>
      <c r="L166" s="51">
        <f>I166+J166+K166</f>
        <v>1373</v>
      </c>
      <c r="M166" s="50"/>
      <c r="N166" s="7"/>
      <c r="O166" s="51">
        <f>L166+M166+N166</f>
        <v>1373</v>
      </c>
      <c r="P166" s="129"/>
      <c r="Q166" s="127">
        <f t="shared" si="32"/>
        <v>1373</v>
      </c>
    </row>
    <row r="167" spans="1:17" ht="12.75" hidden="1">
      <c r="A167" s="74" t="s">
        <v>79</v>
      </c>
      <c r="B167" s="165"/>
      <c r="C167" s="184"/>
      <c r="D167" s="182"/>
      <c r="E167" s="182"/>
      <c r="F167" s="183">
        <f>C167+D167+E167</f>
        <v>0</v>
      </c>
      <c r="G167" s="228"/>
      <c r="H167" s="7"/>
      <c r="I167" s="51">
        <f>SUM(F167:H167)</f>
        <v>0</v>
      </c>
      <c r="J167" s="50"/>
      <c r="K167" s="7"/>
      <c r="L167" s="51">
        <f>I167+J167+K167</f>
        <v>0</v>
      </c>
      <c r="M167" s="50"/>
      <c r="N167" s="7"/>
      <c r="O167" s="51">
        <f>L167+M167+N167</f>
        <v>0</v>
      </c>
      <c r="P167" s="129"/>
      <c r="Q167" s="127">
        <f t="shared" si="32"/>
        <v>0</v>
      </c>
    </row>
    <row r="168" spans="1:17" ht="12.75" hidden="1">
      <c r="A168" s="76" t="s">
        <v>67</v>
      </c>
      <c r="B168" s="169"/>
      <c r="C168" s="191">
        <f>C170</f>
        <v>0</v>
      </c>
      <c r="D168" s="192">
        <f>D170</f>
        <v>0</v>
      </c>
      <c r="E168" s="192">
        <f>E170</f>
        <v>0</v>
      </c>
      <c r="F168" s="193">
        <f>F170</f>
        <v>0</v>
      </c>
      <c r="G168" s="231"/>
      <c r="H168" s="12"/>
      <c r="I168" s="59" t="e">
        <f>#REF!</f>
        <v>#REF!</v>
      </c>
      <c r="J168" s="58"/>
      <c r="K168" s="12"/>
      <c r="L168" s="59" t="e">
        <f>#REF!+L170</f>
        <v>#REF!</v>
      </c>
      <c r="M168" s="58"/>
      <c r="N168" s="12"/>
      <c r="O168" s="59" t="e">
        <f>#REF!+O170</f>
        <v>#REF!</v>
      </c>
      <c r="P168" s="134"/>
      <c r="Q168" s="108" t="e">
        <f>#REF!+Q170</f>
        <v>#REF!</v>
      </c>
    </row>
    <row r="169" spans="1:17" ht="12.75" hidden="1">
      <c r="A169" s="72" t="s">
        <v>33</v>
      </c>
      <c r="B169" s="165"/>
      <c r="C169" s="184"/>
      <c r="D169" s="182"/>
      <c r="E169" s="182"/>
      <c r="F169" s="181"/>
      <c r="G169" s="228"/>
      <c r="H169" s="7"/>
      <c r="I169" s="49"/>
      <c r="J169" s="50"/>
      <c r="K169" s="7"/>
      <c r="L169" s="49"/>
      <c r="M169" s="50"/>
      <c r="N169" s="7"/>
      <c r="O169" s="49"/>
      <c r="P169" s="129"/>
      <c r="Q169" s="127"/>
    </row>
    <row r="170" spans="1:17" ht="12.75" hidden="1">
      <c r="A170" s="73" t="s">
        <v>209</v>
      </c>
      <c r="B170" s="168"/>
      <c r="C170" s="194"/>
      <c r="D170" s="195"/>
      <c r="E170" s="195"/>
      <c r="F170" s="246">
        <f>C170+D170+E170</f>
        <v>0</v>
      </c>
      <c r="G170" s="16"/>
      <c r="H170" s="10"/>
      <c r="I170" s="123"/>
      <c r="J170" s="54"/>
      <c r="K170" s="10"/>
      <c r="L170" s="55">
        <f>I170+J170+K170</f>
        <v>0</v>
      </c>
      <c r="M170" s="54"/>
      <c r="N170" s="10"/>
      <c r="O170" s="55">
        <f>L170+M170+N170</f>
        <v>0</v>
      </c>
      <c r="P170" s="142"/>
      <c r="Q170" s="143">
        <f t="shared" si="32"/>
        <v>0</v>
      </c>
    </row>
    <row r="171" spans="1:17" ht="12.75">
      <c r="A171" s="67" t="s">
        <v>87</v>
      </c>
      <c r="B171" s="169"/>
      <c r="C171" s="179">
        <f>C172+C184</f>
        <v>1120747.5</v>
      </c>
      <c r="D171" s="180">
        <f>D172+D184</f>
        <v>72605.79000000001</v>
      </c>
      <c r="E171" s="180">
        <f>E172+E184</f>
        <v>0</v>
      </c>
      <c r="F171" s="181">
        <f>F172+F184</f>
        <v>1193353.29</v>
      </c>
      <c r="G171" s="227"/>
      <c r="H171" s="6"/>
      <c r="I171" s="49">
        <f>I172+I184</f>
        <v>1193353.29</v>
      </c>
      <c r="J171" s="48"/>
      <c r="K171" s="6"/>
      <c r="L171" s="49">
        <f>L172+L184</f>
        <v>1193353.29</v>
      </c>
      <c r="M171" s="48"/>
      <c r="N171" s="6"/>
      <c r="O171" s="49">
        <f>O172+O184</f>
        <v>1193353.29</v>
      </c>
      <c r="P171" s="130"/>
      <c r="Q171" s="107">
        <f>Q172+Q184</f>
        <v>1193353.29</v>
      </c>
    </row>
    <row r="172" spans="1:17" ht="12.75">
      <c r="A172" s="76" t="s">
        <v>62</v>
      </c>
      <c r="B172" s="169"/>
      <c r="C172" s="191">
        <f>SUM(C175:C183)</f>
        <v>1113747.5</v>
      </c>
      <c r="D172" s="192">
        <f>SUM(D175:D183)</f>
        <v>57607.5</v>
      </c>
      <c r="E172" s="192">
        <f>SUM(E175:E183)</f>
        <v>0</v>
      </c>
      <c r="F172" s="193">
        <f>SUM(F175:F183)</f>
        <v>1171355</v>
      </c>
      <c r="G172" s="231"/>
      <c r="H172" s="12"/>
      <c r="I172" s="59">
        <f>SUM(I175:I183)</f>
        <v>1171355</v>
      </c>
      <c r="J172" s="58"/>
      <c r="K172" s="12"/>
      <c r="L172" s="59">
        <f>SUM(L175:L183)</f>
        <v>1171355</v>
      </c>
      <c r="M172" s="58"/>
      <c r="N172" s="12"/>
      <c r="O172" s="59">
        <f>SUM(O175:O183)</f>
        <v>1171355</v>
      </c>
      <c r="P172" s="134"/>
      <c r="Q172" s="108">
        <f>SUM(Q175:Q183)</f>
        <v>1171355</v>
      </c>
    </row>
    <row r="173" spans="1:17" ht="12.75">
      <c r="A173" s="72" t="s">
        <v>33</v>
      </c>
      <c r="B173" s="165"/>
      <c r="C173" s="184"/>
      <c r="D173" s="182"/>
      <c r="E173" s="182"/>
      <c r="F173" s="181"/>
      <c r="G173" s="228"/>
      <c r="H173" s="7"/>
      <c r="I173" s="49"/>
      <c r="J173" s="50"/>
      <c r="K173" s="7"/>
      <c r="L173" s="49"/>
      <c r="M173" s="50"/>
      <c r="N173" s="7"/>
      <c r="O173" s="49"/>
      <c r="P173" s="129"/>
      <c r="Q173" s="127"/>
    </row>
    <row r="174" spans="1:17" ht="12.75">
      <c r="A174" s="74" t="s">
        <v>88</v>
      </c>
      <c r="B174" s="165"/>
      <c r="C174" s="184">
        <f>C175+C176</f>
        <v>674371</v>
      </c>
      <c r="D174" s="182">
        <f>D175+D176</f>
        <v>18672.71</v>
      </c>
      <c r="E174" s="182">
        <f>E175+E176</f>
        <v>-250</v>
      </c>
      <c r="F174" s="183">
        <f>F175+F176</f>
        <v>692793.71</v>
      </c>
      <c r="G174" s="228"/>
      <c r="H174" s="7"/>
      <c r="I174" s="51">
        <f>I175+I176</f>
        <v>692793.71</v>
      </c>
      <c r="J174" s="50"/>
      <c r="K174" s="7"/>
      <c r="L174" s="51">
        <f>L175+L176</f>
        <v>692793.71</v>
      </c>
      <c r="M174" s="50"/>
      <c r="N174" s="7"/>
      <c r="O174" s="51">
        <f>O175+O176</f>
        <v>692793.71</v>
      </c>
      <c r="P174" s="129"/>
      <c r="Q174" s="127">
        <f t="shared" si="32"/>
        <v>692793.71</v>
      </c>
    </row>
    <row r="175" spans="1:17" ht="12.75">
      <c r="A175" s="74" t="s">
        <v>89</v>
      </c>
      <c r="B175" s="165"/>
      <c r="C175" s="184">
        <v>296942</v>
      </c>
      <c r="D175" s="182">
        <f>2195.61+7600+7.1+2400+6470</f>
        <v>18672.71</v>
      </c>
      <c r="E175" s="182">
        <v>-250</v>
      </c>
      <c r="F175" s="183">
        <f aca="true" t="shared" si="34" ref="F175:F183">C175+D175+E175</f>
        <v>315364.71</v>
      </c>
      <c r="G175" s="232"/>
      <c r="H175" s="15"/>
      <c r="I175" s="51">
        <f aca="true" t="shared" si="35" ref="I175:I183">F175+G175+H175</f>
        <v>315364.71</v>
      </c>
      <c r="J175" s="50"/>
      <c r="K175" s="7"/>
      <c r="L175" s="51">
        <f aca="true" t="shared" si="36" ref="L175:L183">I175+J175+K175</f>
        <v>315364.71</v>
      </c>
      <c r="M175" s="50"/>
      <c r="N175" s="7"/>
      <c r="O175" s="51">
        <f aca="true" t="shared" si="37" ref="O175:O183">L175+M175+N175</f>
        <v>315364.71</v>
      </c>
      <c r="P175" s="129"/>
      <c r="Q175" s="127">
        <f t="shared" si="32"/>
        <v>315364.71</v>
      </c>
    </row>
    <row r="176" spans="1:17" ht="12.75">
      <c r="A176" s="70" t="s">
        <v>90</v>
      </c>
      <c r="B176" s="165"/>
      <c r="C176" s="184">
        <v>377429</v>
      </c>
      <c r="D176" s="182"/>
      <c r="E176" s="182"/>
      <c r="F176" s="183">
        <f t="shared" si="34"/>
        <v>377429</v>
      </c>
      <c r="G176" s="232"/>
      <c r="H176" s="15"/>
      <c r="I176" s="51">
        <f t="shared" si="35"/>
        <v>377429</v>
      </c>
      <c r="J176" s="50"/>
      <c r="K176" s="7"/>
      <c r="L176" s="51">
        <f t="shared" si="36"/>
        <v>377429</v>
      </c>
      <c r="M176" s="50"/>
      <c r="N176" s="7"/>
      <c r="O176" s="51">
        <f t="shared" si="37"/>
        <v>377429</v>
      </c>
      <c r="P176" s="129"/>
      <c r="Q176" s="127">
        <f t="shared" si="32"/>
        <v>377429</v>
      </c>
    </row>
    <row r="177" spans="1:17" ht="12.75">
      <c r="A177" s="74" t="s">
        <v>91</v>
      </c>
      <c r="B177" s="165"/>
      <c r="C177" s="184">
        <v>20876.5</v>
      </c>
      <c r="D177" s="182"/>
      <c r="E177" s="182"/>
      <c r="F177" s="183">
        <f t="shared" si="34"/>
        <v>20876.5</v>
      </c>
      <c r="G177" s="145"/>
      <c r="H177" s="14"/>
      <c r="I177" s="51">
        <f t="shared" si="35"/>
        <v>20876.5</v>
      </c>
      <c r="J177" s="62"/>
      <c r="K177" s="14"/>
      <c r="L177" s="51">
        <f t="shared" si="36"/>
        <v>20876.5</v>
      </c>
      <c r="M177" s="50"/>
      <c r="N177" s="7"/>
      <c r="O177" s="51">
        <f t="shared" si="37"/>
        <v>20876.5</v>
      </c>
      <c r="P177" s="129"/>
      <c r="Q177" s="127">
        <f t="shared" si="32"/>
        <v>20876.5</v>
      </c>
    </row>
    <row r="178" spans="1:17" ht="12.75">
      <c r="A178" s="70" t="s">
        <v>92</v>
      </c>
      <c r="B178" s="165"/>
      <c r="C178" s="184"/>
      <c r="D178" s="182"/>
      <c r="E178" s="182">
        <v>250</v>
      </c>
      <c r="F178" s="183">
        <f t="shared" si="34"/>
        <v>250</v>
      </c>
      <c r="G178" s="228"/>
      <c r="H178" s="7"/>
      <c r="I178" s="51">
        <f t="shared" si="35"/>
        <v>250</v>
      </c>
      <c r="J178" s="50"/>
      <c r="K178" s="7"/>
      <c r="L178" s="51">
        <f t="shared" si="36"/>
        <v>250</v>
      </c>
      <c r="M178" s="50"/>
      <c r="N178" s="7"/>
      <c r="O178" s="51">
        <f t="shared" si="37"/>
        <v>250</v>
      </c>
      <c r="P178" s="129"/>
      <c r="Q178" s="127">
        <f t="shared" si="32"/>
        <v>250</v>
      </c>
    </row>
    <row r="179" spans="1:17" ht="12.75" hidden="1">
      <c r="A179" s="70" t="s">
        <v>79</v>
      </c>
      <c r="B179" s="165"/>
      <c r="C179" s="184"/>
      <c r="D179" s="182"/>
      <c r="E179" s="182"/>
      <c r="F179" s="183">
        <f t="shared" si="34"/>
        <v>0</v>
      </c>
      <c r="G179" s="228"/>
      <c r="H179" s="7"/>
      <c r="I179" s="51">
        <f t="shared" si="35"/>
        <v>0</v>
      </c>
      <c r="J179" s="50"/>
      <c r="K179" s="7"/>
      <c r="L179" s="51">
        <f t="shared" si="36"/>
        <v>0</v>
      </c>
      <c r="M179" s="50"/>
      <c r="N179" s="7"/>
      <c r="O179" s="51">
        <f t="shared" si="37"/>
        <v>0</v>
      </c>
      <c r="P179" s="129"/>
      <c r="Q179" s="127">
        <f t="shared" si="32"/>
        <v>0</v>
      </c>
    </row>
    <row r="180" spans="1:17" ht="12.75" hidden="1">
      <c r="A180" s="70" t="s">
        <v>93</v>
      </c>
      <c r="B180" s="165">
        <v>91252</v>
      </c>
      <c r="C180" s="184"/>
      <c r="D180" s="182"/>
      <c r="E180" s="182"/>
      <c r="F180" s="183">
        <f t="shared" si="34"/>
        <v>0</v>
      </c>
      <c r="G180" s="228"/>
      <c r="H180" s="7"/>
      <c r="I180" s="51">
        <f t="shared" si="35"/>
        <v>0</v>
      </c>
      <c r="J180" s="50"/>
      <c r="K180" s="7"/>
      <c r="L180" s="51">
        <f t="shared" si="36"/>
        <v>0</v>
      </c>
      <c r="M180" s="50"/>
      <c r="N180" s="7"/>
      <c r="O180" s="51">
        <f t="shared" si="37"/>
        <v>0</v>
      </c>
      <c r="P180" s="129"/>
      <c r="Q180" s="127">
        <f t="shared" si="32"/>
        <v>0</v>
      </c>
    </row>
    <row r="181" spans="1:17" ht="12.75" hidden="1">
      <c r="A181" s="70" t="s">
        <v>168</v>
      </c>
      <c r="B181" s="165">
        <v>27355</v>
      </c>
      <c r="C181" s="184"/>
      <c r="D181" s="182"/>
      <c r="E181" s="182"/>
      <c r="F181" s="183">
        <f t="shared" si="34"/>
        <v>0</v>
      </c>
      <c r="G181" s="228"/>
      <c r="H181" s="7"/>
      <c r="I181" s="51">
        <f t="shared" si="35"/>
        <v>0</v>
      </c>
      <c r="J181" s="50"/>
      <c r="K181" s="7"/>
      <c r="L181" s="51">
        <f t="shared" si="36"/>
        <v>0</v>
      </c>
      <c r="M181" s="50"/>
      <c r="N181" s="7"/>
      <c r="O181" s="51">
        <f t="shared" si="37"/>
        <v>0</v>
      </c>
      <c r="P181" s="129"/>
      <c r="Q181" s="127">
        <f t="shared" si="32"/>
        <v>0</v>
      </c>
    </row>
    <row r="182" spans="1:17" ht="12.75">
      <c r="A182" s="70" t="s">
        <v>64</v>
      </c>
      <c r="B182" s="165"/>
      <c r="C182" s="184">
        <v>418500</v>
      </c>
      <c r="D182" s="182">
        <f>1397.79+37537</f>
        <v>38934.79</v>
      </c>
      <c r="E182" s="182"/>
      <c r="F182" s="183">
        <f t="shared" si="34"/>
        <v>457434.79</v>
      </c>
      <c r="G182" s="228"/>
      <c r="H182" s="7"/>
      <c r="I182" s="51">
        <f t="shared" si="35"/>
        <v>457434.79</v>
      </c>
      <c r="J182" s="50"/>
      <c r="K182" s="7"/>
      <c r="L182" s="51">
        <f t="shared" si="36"/>
        <v>457434.79</v>
      </c>
      <c r="M182" s="50"/>
      <c r="N182" s="7"/>
      <c r="O182" s="51">
        <f t="shared" si="37"/>
        <v>457434.79</v>
      </c>
      <c r="P182" s="129"/>
      <c r="Q182" s="127">
        <f t="shared" si="32"/>
        <v>457434.79</v>
      </c>
    </row>
    <row r="183" spans="1:17" ht="12" customHeight="1" hidden="1">
      <c r="A183" s="70" t="s">
        <v>94</v>
      </c>
      <c r="B183" s="165"/>
      <c r="C183" s="184"/>
      <c r="D183" s="182"/>
      <c r="E183" s="182"/>
      <c r="F183" s="183">
        <f t="shared" si="34"/>
        <v>0</v>
      </c>
      <c r="G183" s="228"/>
      <c r="H183" s="7"/>
      <c r="I183" s="51">
        <f t="shared" si="35"/>
        <v>0</v>
      </c>
      <c r="J183" s="50"/>
      <c r="K183" s="7"/>
      <c r="L183" s="51">
        <f t="shared" si="36"/>
        <v>0</v>
      </c>
      <c r="M183" s="50"/>
      <c r="N183" s="7"/>
      <c r="O183" s="51">
        <f t="shared" si="37"/>
        <v>0</v>
      </c>
      <c r="P183" s="129"/>
      <c r="Q183" s="127">
        <f t="shared" si="32"/>
        <v>0</v>
      </c>
    </row>
    <row r="184" spans="1:17" ht="12.75">
      <c r="A184" s="77" t="s">
        <v>67</v>
      </c>
      <c r="B184" s="169"/>
      <c r="C184" s="196">
        <f>SUM(C186:C188)</f>
        <v>7000</v>
      </c>
      <c r="D184" s="197">
        <f>SUM(D186:D188)</f>
        <v>14998.29</v>
      </c>
      <c r="E184" s="197">
        <f>SUM(E186:E188)</f>
        <v>0</v>
      </c>
      <c r="F184" s="198">
        <f>SUM(F186:F188)</f>
        <v>21998.29</v>
      </c>
      <c r="G184" s="117"/>
      <c r="H184" s="13"/>
      <c r="I184" s="61">
        <f>SUM(I186:I187)</f>
        <v>21998.29</v>
      </c>
      <c r="J184" s="60"/>
      <c r="K184" s="13"/>
      <c r="L184" s="61">
        <f>SUM(L186:L187)</f>
        <v>21998.29</v>
      </c>
      <c r="M184" s="60"/>
      <c r="N184" s="13"/>
      <c r="O184" s="61">
        <f>SUM(O186:O187)</f>
        <v>21998.29</v>
      </c>
      <c r="P184" s="135"/>
      <c r="Q184" s="120">
        <f>SUM(Q186:Q187)</f>
        <v>21998.29</v>
      </c>
    </row>
    <row r="185" spans="1:17" ht="12.75">
      <c r="A185" s="68" t="s">
        <v>33</v>
      </c>
      <c r="B185" s="165"/>
      <c r="C185" s="185"/>
      <c r="D185" s="186"/>
      <c r="E185" s="186"/>
      <c r="F185" s="187"/>
      <c r="G185" s="17"/>
      <c r="H185" s="8"/>
      <c r="I185" s="53"/>
      <c r="J185" s="52"/>
      <c r="K185" s="8"/>
      <c r="L185" s="53"/>
      <c r="M185" s="52"/>
      <c r="N185" s="8"/>
      <c r="O185" s="53"/>
      <c r="P185" s="129"/>
      <c r="Q185" s="127"/>
    </row>
    <row r="186" spans="1:17" ht="12.75">
      <c r="A186" s="69" t="s">
        <v>68</v>
      </c>
      <c r="B186" s="165"/>
      <c r="C186" s="184"/>
      <c r="D186" s="182">
        <f>1998.29+10000</f>
        <v>11998.29</v>
      </c>
      <c r="E186" s="182"/>
      <c r="F186" s="183">
        <f>C186+D186+E186</f>
        <v>11998.29</v>
      </c>
      <c r="G186" s="228"/>
      <c r="H186" s="7"/>
      <c r="I186" s="51">
        <f>F186+G186+H186</f>
        <v>11998.29</v>
      </c>
      <c r="J186" s="50"/>
      <c r="K186" s="7"/>
      <c r="L186" s="51">
        <f>I186+J186+K186</f>
        <v>11998.29</v>
      </c>
      <c r="M186" s="50"/>
      <c r="N186" s="7"/>
      <c r="O186" s="51">
        <f>L186+M186+N186</f>
        <v>11998.29</v>
      </c>
      <c r="P186" s="129"/>
      <c r="Q186" s="127">
        <f t="shared" si="32"/>
        <v>11998.29</v>
      </c>
    </row>
    <row r="187" spans="1:17" ht="12.75">
      <c r="A187" s="73" t="s">
        <v>109</v>
      </c>
      <c r="B187" s="168"/>
      <c r="C187" s="194">
        <v>7000</v>
      </c>
      <c r="D187" s="195">
        <f>3000</f>
        <v>3000</v>
      </c>
      <c r="E187" s="195"/>
      <c r="F187" s="246">
        <f>C187+D187+E187</f>
        <v>10000</v>
      </c>
      <c r="G187" s="228"/>
      <c r="H187" s="7"/>
      <c r="I187" s="51">
        <f>F187+G187+H187</f>
        <v>10000</v>
      </c>
      <c r="J187" s="50"/>
      <c r="K187" s="7"/>
      <c r="L187" s="51">
        <f>I187+J187+K187</f>
        <v>10000</v>
      </c>
      <c r="M187" s="50"/>
      <c r="N187" s="7"/>
      <c r="O187" s="51">
        <f>L187+M187+N187</f>
        <v>10000</v>
      </c>
      <c r="P187" s="129"/>
      <c r="Q187" s="127">
        <f t="shared" si="32"/>
        <v>10000</v>
      </c>
    </row>
    <row r="188" spans="1:17" ht="12.75" hidden="1">
      <c r="A188" s="73" t="s">
        <v>95</v>
      </c>
      <c r="B188" s="168"/>
      <c r="C188" s="194"/>
      <c r="D188" s="195"/>
      <c r="E188" s="195"/>
      <c r="F188" s="246">
        <f>C188+D188+E188</f>
        <v>0</v>
      </c>
      <c r="G188" s="16"/>
      <c r="H188" s="10"/>
      <c r="I188" s="55">
        <f>F188+G188+H188</f>
        <v>0</v>
      </c>
      <c r="J188" s="54"/>
      <c r="K188" s="10"/>
      <c r="L188" s="55">
        <f>I188+J188+K188</f>
        <v>0</v>
      </c>
      <c r="M188" s="54"/>
      <c r="N188" s="10"/>
      <c r="O188" s="55">
        <f>L188+M188+N188</f>
        <v>0</v>
      </c>
      <c r="P188" s="142"/>
      <c r="Q188" s="143">
        <f t="shared" si="32"/>
        <v>0</v>
      </c>
    </row>
    <row r="189" spans="1:17" ht="12.75">
      <c r="A189" s="71" t="s">
        <v>96</v>
      </c>
      <c r="B189" s="169"/>
      <c r="C189" s="185">
        <f>C190+C195</f>
        <v>33600.8</v>
      </c>
      <c r="D189" s="186">
        <f>D190+D195</f>
        <v>202840</v>
      </c>
      <c r="E189" s="186">
        <f>E190+E195</f>
        <v>0</v>
      </c>
      <c r="F189" s="187">
        <f>F190+F195</f>
        <v>236440.8</v>
      </c>
      <c r="G189" s="17"/>
      <c r="H189" s="8"/>
      <c r="I189" s="53" t="e">
        <f>I190+I195</f>
        <v>#REF!</v>
      </c>
      <c r="J189" s="52"/>
      <c r="K189" s="8"/>
      <c r="L189" s="53" t="e">
        <f>L190+L195</f>
        <v>#REF!</v>
      </c>
      <c r="M189" s="52"/>
      <c r="N189" s="8"/>
      <c r="O189" s="53" t="e">
        <f>O190+O195</f>
        <v>#REF!</v>
      </c>
      <c r="P189" s="132"/>
      <c r="Q189" s="63" t="e">
        <f>Q190+Q195</f>
        <v>#REF!</v>
      </c>
    </row>
    <row r="190" spans="1:17" ht="12.75">
      <c r="A190" s="76" t="s">
        <v>62</v>
      </c>
      <c r="B190" s="169"/>
      <c r="C190" s="191">
        <f>SUM(C192:C194)</f>
        <v>31600.8</v>
      </c>
      <c r="D190" s="192">
        <f>SUM(D192:D194)</f>
        <v>100</v>
      </c>
      <c r="E190" s="192">
        <f>SUM(E192:E194)</f>
        <v>0</v>
      </c>
      <c r="F190" s="193">
        <f>SUM(F192:F194)</f>
        <v>31700.8</v>
      </c>
      <c r="G190" s="231"/>
      <c r="H190" s="12"/>
      <c r="I190" s="59">
        <f>SUM(I192:I194)</f>
        <v>31700.8</v>
      </c>
      <c r="J190" s="58"/>
      <c r="K190" s="12"/>
      <c r="L190" s="59">
        <f>SUM(L192:L194)</f>
        <v>31700.8</v>
      </c>
      <c r="M190" s="58"/>
      <c r="N190" s="12"/>
      <c r="O190" s="59">
        <f>SUM(O192:O194)</f>
        <v>31700.8</v>
      </c>
      <c r="P190" s="134"/>
      <c r="Q190" s="108">
        <f>SUM(Q192:Q194)</f>
        <v>31700.8</v>
      </c>
    </row>
    <row r="191" spans="1:17" ht="12.75">
      <c r="A191" s="72" t="s">
        <v>33</v>
      </c>
      <c r="B191" s="165"/>
      <c r="C191" s="184"/>
      <c r="D191" s="182"/>
      <c r="E191" s="182"/>
      <c r="F191" s="181"/>
      <c r="G191" s="228"/>
      <c r="H191" s="7"/>
      <c r="I191" s="49"/>
      <c r="J191" s="50"/>
      <c r="K191" s="7"/>
      <c r="L191" s="49"/>
      <c r="M191" s="50"/>
      <c r="N191" s="7"/>
      <c r="O191" s="49"/>
      <c r="P191" s="129"/>
      <c r="Q191" s="127"/>
    </row>
    <row r="192" spans="1:17" ht="12.75">
      <c r="A192" s="70" t="s">
        <v>64</v>
      </c>
      <c r="B192" s="165"/>
      <c r="C192" s="184">
        <v>7600.8</v>
      </c>
      <c r="D192" s="182">
        <f>100</f>
        <v>100</v>
      </c>
      <c r="E192" s="182"/>
      <c r="F192" s="183">
        <f>C192+D192+E192</f>
        <v>7700.8</v>
      </c>
      <c r="G192" s="228"/>
      <c r="H192" s="7"/>
      <c r="I192" s="51">
        <f>F192+G192+H192</f>
        <v>7700.8</v>
      </c>
      <c r="J192" s="50"/>
      <c r="K192" s="7"/>
      <c r="L192" s="51">
        <f>I192+J192+K192</f>
        <v>7700.8</v>
      </c>
      <c r="M192" s="50"/>
      <c r="N192" s="7"/>
      <c r="O192" s="51">
        <f>L192+M192+N192</f>
        <v>7700.8</v>
      </c>
      <c r="P192" s="129"/>
      <c r="Q192" s="127">
        <f t="shared" si="32"/>
        <v>7700.8</v>
      </c>
    </row>
    <row r="193" spans="1:17" ht="12.75" hidden="1">
      <c r="A193" s="70" t="s">
        <v>95</v>
      </c>
      <c r="B193" s="165"/>
      <c r="C193" s="184"/>
      <c r="D193" s="182"/>
      <c r="E193" s="182"/>
      <c r="F193" s="183">
        <f>C193+D193+E193</f>
        <v>0</v>
      </c>
      <c r="G193" s="228"/>
      <c r="H193" s="7"/>
      <c r="I193" s="51"/>
      <c r="J193" s="50"/>
      <c r="K193" s="7"/>
      <c r="L193" s="51"/>
      <c r="M193" s="50"/>
      <c r="N193" s="7"/>
      <c r="O193" s="51">
        <f>L193+M193+N193</f>
        <v>0</v>
      </c>
      <c r="P193" s="129"/>
      <c r="Q193" s="127">
        <f t="shared" si="32"/>
        <v>0</v>
      </c>
    </row>
    <row r="194" spans="1:17" ht="12.75">
      <c r="A194" s="70" t="s">
        <v>97</v>
      </c>
      <c r="B194" s="165"/>
      <c r="C194" s="184">
        <v>24000</v>
      </c>
      <c r="D194" s="182"/>
      <c r="E194" s="182"/>
      <c r="F194" s="183">
        <f>C194+D194+E194</f>
        <v>24000</v>
      </c>
      <c r="G194" s="228"/>
      <c r="H194" s="7"/>
      <c r="I194" s="51">
        <f>F194+G194+H194</f>
        <v>24000</v>
      </c>
      <c r="J194" s="50"/>
      <c r="K194" s="7"/>
      <c r="L194" s="51">
        <f>I194+J194+K194</f>
        <v>24000</v>
      </c>
      <c r="M194" s="50"/>
      <c r="N194" s="7"/>
      <c r="O194" s="51">
        <f>L194+M194+N194</f>
        <v>24000</v>
      </c>
      <c r="P194" s="129"/>
      <c r="Q194" s="127">
        <f t="shared" si="32"/>
        <v>24000</v>
      </c>
    </row>
    <row r="195" spans="1:17" ht="12.75">
      <c r="A195" s="77" t="s">
        <v>67</v>
      </c>
      <c r="B195" s="169"/>
      <c r="C195" s="196">
        <f>C200+C197+C198+C199</f>
        <v>2000</v>
      </c>
      <c r="D195" s="197">
        <f>D200+D197+D198+D199</f>
        <v>202740</v>
      </c>
      <c r="E195" s="197">
        <f>E200+E197+E198+E199</f>
        <v>0</v>
      </c>
      <c r="F195" s="198">
        <f>F200+F198+F197+F199</f>
        <v>204740</v>
      </c>
      <c r="G195" s="117"/>
      <c r="H195" s="13"/>
      <c r="I195" s="61" t="e">
        <f>I200+#REF!</f>
        <v>#REF!</v>
      </c>
      <c r="J195" s="60"/>
      <c r="K195" s="117"/>
      <c r="L195" s="61" t="e">
        <f>L200+#REF!</f>
        <v>#REF!</v>
      </c>
      <c r="M195" s="60"/>
      <c r="N195" s="13"/>
      <c r="O195" s="61" t="e">
        <f>O200+#REF!+O197</f>
        <v>#REF!</v>
      </c>
      <c r="P195" s="135"/>
      <c r="Q195" s="120" t="e">
        <f>Q200+#REF!+Q197</f>
        <v>#REF!</v>
      </c>
    </row>
    <row r="196" spans="1:17" ht="12.75">
      <c r="A196" s="68" t="s">
        <v>33</v>
      </c>
      <c r="B196" s="165"/>
      <c r="C196" s="185"/>
      <c r="D196" s="186"/>
      <c r="E196" s="186"/>
      <c r="F196" s="187"/>
      <c r="G196" s="17"/>
      <c r="H196" s="8"/>
      <c r="I196" s="53"/>
      <c r="J196" s="52"/>
      <c r="K196" s="8"/>
      <c r="L196" s="53"/>
      <c r="M196" s="52"/>
      <c r="N196" s="8"/>
      <c r="O196" s="53"/>
      <c r="P196" s="129"/>
      <c r="Q196" s="127"/>
    </row>
    <row r="197" spans="1:17" ht="12.75" hidden="1">
      <c r="A197" s="70" t="s">
        <v>205</v>
      </c>
      <c r="B197" s="165">
        <v>98861</v>
      </c>
      <c r="C197" s="184"/>
      <c r="D197" s="182"/>
      <c r="E197" s="182"/>
      <c r="F197" s="183">
        <f>C197+D197+E197</f>
        <v>0</v>
      </c>
      <c r="G197" s="17"/>
      <c r="H197" s="8"/>
      <c r="I197" s="51"/>
      <c r="J197" s="52"/>
      <c r="K197" s="8"/>
      <c r="L197" s="51"/>
      <c r="M197" s="52"/>
      <c r="N197" s="8"/>
      <c r="O197" s="51">
        <f>L197+M197+N197</f>
        <v>0</v>
      </c>
      <c r="P197" s="129"/>
      <c r="Q197" s="127">
        <f t="shared" si="32"/>
        <v>0</v>
      </c>
    </row>
    <row r="198" spans="1:17" ht="12.75" hidden="1">
      <c r="A198" s="70" t="s">
        <v>292</v>
      </c>
      <c r="B198" s="165">
        <v>7938</v>
      </c>
      <c r="C198" s="184"/>
      <c r="D198" s="182"/>
      <c r="E198" s="182"/>
      <c r="F198" s="183">
        <f>C198+D198+E198</f>
        <v>0</v>
      </c>
      <c r="G198" s="17"/>
      <c r="H198" s="8"/>
      <c r="I198" s="51"/>
      <c r="J198" s="52"/>
      <c r="K198" s="8"/>
      <c r="L198" s="51"/>
      <c r="M198" s="52"/>
      <c r="N198" s="8"/>
      <c r="O198" s="51"/>
      <c r="P198" s="129"/>
      <c r="Q198" s="127"/>
    </row>
    <row r="199" spans="1:17" ht="12.75">
      <c r="A199" s="70" t="s">
        <v>347</v>
      </c>
      <c r="B199" s="165"/>
      <c r="C199" s="184"/>
      <c r="D199" s="182">
        <v>200000</v>
      </c>
      <c r="E199" s="182"/>
      <c r="F199" s="183">
        <f>C199+D199+E199</f>
        <v>200000</v>
      </c>
      <c r="G199" s="17"/>
      <c r="H199" s="8"/>
      <c r="I199" s="51"/>
      <c r="J199" s="52"/>
      <c r="K199" s="8"/>
      <c r="L199" s="51"/>
      <c r="M199" s="52"/>
      <c r="N199" s="8"/>
      <c r="O199" s="51"/>
      <c r="P199" s="129"/>
      <c r="Q199" s="127"/>
    </row>
    <row r="200" spans="1:17" ht="12.75">
      <c r="A200" s="81" t="s">
        <v>68</v>
      </c>
      <c r="B200" s="168"/>
      <c r="C200" s="194">
        <v>2000</v>
      </c>
      <c r="D200" s="195">
        <f>1740+1000</f>
        <v>2740</v>
      </c>
      <c r="E200" s="195"/>
      <c r="F200" s="246">
        <f>C200+D200+E200</f>
        <v>4740</v>
      </c>
      <c r="G200" s="16"/>
      <c r="H200" s="10"/>
      <c r="I200" s="55">
        <f>F200+G200+H200</f>
        <v>4740</v>
      </c>
      <c r="J200" s="54"/>
      <c r="K200" s="10"/>
      <c r="L200" s="55">
        <f>I200+J200+K200</f>
        <v>4740</v>
      </c>
      <c r="M200" s="54"/>
      <c r="N200" s="10"/>
      <c r="O200" s="55">
        <f>L200+M200+N200</f>
        <v>4740</v>
      </c>
      <c r="P200" s="142"/>
      <c r="Q200" s="143">
        <f t="shared" si="32"/>
        <v>4740</v>
      </c>
    </row>
    <row r="201" spans="1:17" ht="12.75">
      <c r="A201" s="67" t="s">
        <v>214</v>
      </c>
      <c r="B201" s="169"/>
      <c r="C201" s="179">
        <f>C202+C216</f>
        <v>3709.3</v>
      </c>
      <c r="D201" s="180">
        <f>D202+D216</f>
        <v>116839.69999999998</v>
      </c>
      <c r="E201" s="180">
        <f>E202+E216</f>
        <v>0</v>
      </c>
      <c r="F201" s="181">
        <f>F202+F216</f>
        <v>120548.99999999999</v>
      </c>
      <c r="G201" s="227"/>
      <c r="H201" s="6"/>
      <c r="I201" s="49" t="e">
        <f>I202+I216</f>
        <v>#REF!</v>
      </c>
      <c r="J201" s="48"/>
      <c r="K201" s="6"/>
      <c r="L201" s="49" t="e">
        <f>L202+L216</f>
        <v>#REF!</v>
      </c>
      <c r="M201" s="48"/>
      <c r="N201" s="6"/>
      <c r="O201" s="49" t="e">
        <f>O202+O216</f>
        <v>#REF!</v>
      </c>
      <c r="P201" s="130"/>
      <c r="Q201" s="107" t="e">
        <f>Q202+Q216</f>
        <v>#REF!</v>
      </c>
    </row>
    <row r="202" spans="1:17" ht="12.75">
      <c r="A202" s="76" t="s">
        <v>62</v>
      </c>
      <c r="B202" s="169"/>
      <c r="C202" s="191">
        <f>SUM(C204:C215)</f>
        <v>3709.3</v>
      </c>
      <c r="D202" s="192">
        <f>SUM(D204:D215)</f>
        <v>20237.68</v>
      </c>
      <c r="E202" s="192">
        <f>SUM(E204:E215)</f>
        <v>0</v>
      </c>
      <c r="F202" s="193">
        <f>SUM(F204:F215)</f>
        <v>23946.979999999996</v>
      </c>
      <c r="G202" s="231"/>
      <c r="H202" s="12"/>
      <c r="I202" s="59" t="e">
        <f>SUM(I204:I210)+#REF!</f>
        <v>#REF!</v>
      </c>
      <c r="J202" s="58"/>
      <c r="K202" s="12"/>
      <c r="L202" s="59" t="e">
        <f>SUM(L204:L210)+#REF!</f>
        <v>#REF!</v>
      </c>
      <c r="M202" s="58"/>
      <c r="N202" s="12"/>
      <c r="O202" s="59" t="e">
        <f>SUM(O204:O210)+#REF!</f>
        <v>#REF!</v>
      </c>
      <c r="P202" s="134"/>
      <c r="Q202" s="108" t="e">
        <f>SUM(Q204:Q210)+#REF!</f>
        <v>#REF!</v>
      </c>
    </row>
    <row r="203" spans="1:17" ht="12.75">
      <c r="A203" s="68" t="s">
        <v>33</v>
      </c>
      <c r="B203" s="165"/>
      <c r="C203" s="185"/>
      <c r="D203" s="186"/>
      <c r="E203" s="186"/>
      <c r="F203" s="187"/>
      <c r="G203" s="17"/>
      <c r="H203" s="8"/>
      <c r="I203" s="53"/>
      <c r="J203" s="52"/>
      <c r="K203" s="8"/>
      <c r="L203" s="53"/>
      <c r="M203" s="52"/>
      <c r="N203" s="8"/>
      <c r="O203" s="53"/>
      <c r="P203" s="129"/>
      <c r="Q203" s="127"/>
    </row>
    <row r="204" spans="1:17" ht="12.75">
      <c r="A204" s="70" t="s">
        <v>64</v>
      </c>
      <c r="B204" s="165"/>
      <c r="C204" s="184">
        <v>1830.7</v>
      </c>
      <c r="D204" s="182"/>
      <c r="E204" s="182"/>
      <c r="F204" s="183">
        <f aca="true" t="shared" si="38" ref="F204:F215">C204+D204+E204</f>
        <v>1830.7</v>
      </c>
      <c r="G204" s="228"/>
      <c r="H204" s="7"/>
      <c r="I204" s="51">
        <f>F204+G204+H204</f>
        <v>1830.7</v>
      </c>
      <c r="J204" s="65"/>
      <c r="K204" s="7"/>
      <c r="L204" s="51">
        <f>I204+J204+K204</f>
        <v>1830.7</v>
      </c>
      <c r="M204" s="65"/>
      <c r="N204" s="7"/>
      <c r="O204" s="51">
        <f>L204+M204+N204</f>
        <v>1830.7</v>
      </c>
      <c r="P204" s="129"/>
      <c r="Q204" s="127">
        <f t="shared" si="32"/>
        <v>1830.7</v>
      </c>
    </row>
    <row r="205" spans="1:17" ht="12.75" hidden="1">
      <c r="A205" s="79" t="s">
        <v>231</v>
      </c>
      <c r="B205" s="165">
        <v>2035</v>
      </c>
      <c r="C205" s="184"/>
      <c r="D205" s="182"/>
      <c r="E205" s="182"/>
      <c r="F205" s="183">
        <f t="shared" si="38"/>
        <v>0</v>
      </c>
      <c r="G205" s="228"/>
      <c r="H205" s="7"/>
      <c r="I205" s="51">
        <f>F205+G205+H205</f>
        <v>0</v>
      </c>
      <c r="J205" s="50"/>
      <c r="K205" s="7"/>
      <c r="L205" s="51">
        <f>I205+J205+K205</f>
        <v>0</v>
      </c>
      <c r="M205" s="50"/>
      <c r="N205" s="7"/>
      <c r="O205" s="51">
        <f>L205+M205+N205</f>
        <v>0</v>
      </c>
      <c r="P205" s="129"/>
      <c r="Q205" s="127">
        <f t="shared" si="32"/>
        <v>0</v>
      </c>
    </row>
    <row r="206" spans="1:17" ht="12.75" hidden="1">
      <c r="A206" s="166" t="s">
        <v>312</v>
      </c>
      <c r="B206" s="165">
        <v>2021</v>
      </c>
      <c r="C206" s="184"/>
      <c r="D206" s="182"/>
      <c r="E206" s="182"/>
      <c r="F206" s="183">
        <f t="shared" si="38"/>
        <v>0</v>
      </c>
      <c r="G206" s="228"/>
      <c r="H206" s="7"/>
      <c r="I206" s="51">
        <f>F206+G206+H206</f>
        <v>0</v>
      </c>
      <c r="J206" s="50"/>
      <c r="K206" s="7"/>
      <c r="L206" s="51">
        <f>I206+J206+K206</f>
        <v>0</v>
      </c>
      <c r="M206" s="50"/>
      <c r="N206" s="7"/>
      <c r="O206" s="51">
        <f>L206+M206+N206</f>
        <v>0</v>
      </c>
      <c r="P206" s="129"/>
      <c r="Q206" s="127">
        <f t="shared" si="32"/>
        <v>0</v>
      </c>
    </row>
    <row r="207" spans="1:17" ht="12.75" hidden="1">
      <c r="A207" s="166" t="s">
        <v>313</v>
      </c>
      <c r="B207" s="165">
        <v>2022</v>
      </c>
      <c r="C207" s="184"/>
      <c r="D207" s="182"/>
      <c r="E207" s="182"/>
      <c r="F207" s="183">
        <f t="shared" si="38"/>
        <v>0</v>
      </c>
      <c r="G207" s="228"/>
      <c r="H207" s="7"/>
      <c r="I207" s="51">
        <f>F207+G207+H207</f>
        <v>0</v>
      </c>
      <c r="J207" s="50"/>
      <c r="K207" s="7"/>
      <c r="L207" s="51">
        <f>I207+J207+K207</f>
        <v>0</v>
      </c>
      <c r="M207" s="50"/>
      <c r="N207" s="7"/>
      <c r="O207" s="51">
        <f>L207+M207+N207</f>
        <v>0</v>
      </c>
      <c r="P207" s="129"/>
      <c r="Q207" s="127">
        <f t="shared" si="32"/>
        <v>0</v>
      </c>
    </row>
    <row r="208" spans="1:17" ht="12.75" hidden="1">
      <c r="A208" s="166" t="s">
        <v>314</v>
      </c>
      <c r="B208" s="165">
        <v>2023</v>
      </c>
      <c r="C208" s="184"/>
      <c r="D208" s="182"/>
      <c r="E208" s="182"/>
      <c r="F208" s="183">
        <f t="shared" si="38"/>
        <v>0</v>
      </c>
      <c r="G208" s="228"/>
      <c r="H208" s="7"/>
      <c r="I208" s="51"/>
      <c r="J208" s="50"/>
      <c r="K208" s="7"/>
      <c r="L208" s="51"/>
      <c r="M208" s="50"/>
      <c r="N208" s="7"/>
      <c r="O208" s="51"/>
      <c r="P208" s="129"/>
      <c r="Q208" s="127"/>
    </row>
    <row r="209" spans="1:17" ht="12.75">
      <c r="A209" s="166" t="s">
        <v>342</v>
      </c>
      <c r="B209" s="165">
        <v>2042</v>
      </c>
      <c r="C209" s="184"/>
      <c r="D209" s="182">
        <f>3462.05</f>
        <v>3462.05</v>
      </c>
      <c r="E209" s="182"/>
      <c r="F209" s="183">
        <f t="shared" si="38"/>
        <v>3462.05</v>
      </c>
      <c r="G209" s="228"/>
      <c r="H209" s="7"/>
      <c r="I209" s="51">
        <f>F209+G209+H209</f>
        <v>3462.05</v>
      </c>
      <c r="J209" s="50"/>
      <c r="K209" s="7"/>
      <c r="L209" s="51">
        <f>I209+J209+K209</f>
        <v>3462.05</v>
      </c>
      <c r="M209" s="50"/>
      <c r="N209" s="7"/>
      <c r="O209" s="51">
        <f>L209+M209+N209</f>
        <v>3462.05</v>
      </c>
      <c r="P209" s="129"/>
      <c r="Q209" s="127">
        <f t="shared" si="32"/>
        <v>3462.05</v>
      </c>
    </row>
    <row r="210" spans="1:17" ht="12.75">
      <c r="A210" s="166" t="s">
        <v>343</v>
      </c>
      <c r="B210" s="165">
        <v>2054</v>
      </c>
      <c r="C210" s="184"/>
      <c r="D210" s="182">
        <v>28.65</v>
      </c>
      <c r="E210" s="182"/>
      <c r="F210" s="183">
        <f t="shared" si="38"/>
        <v>28.65</v>
      </c>
      <c r="G210" s="228"/>
      <c r="H210" s="7"/>
      <c r="I210" s="51"/>
      <c r="J210" s="50"/>
      <c r="K210" s="7"/>
      <c r="L210" s="51"/>
      <c r="M210" s="50"/>
      <c r="N210" s="7"/>
      <c r="O210" s="51"/>
      <c r="P210" s="129"/>
      <c r="Q210" s="127"/>
    </row>
    <row r="211" spans="1:17" ht="12.75">
      <c r="A211" s="166" t="s">
        <v>340</v>
      </c>
      <c r="B211" s="165">
        <v>2045</v>
      </c>
      <c r="C211" s="184"/>
      <c r="D211" s="182">
        <f>5144.59</f>
        <v>5144.59</v>
      </c>
      <c r="E211" s="182"/>
      <c r="F211" s="183">
        <f t="shared" si="38"/>
        <v>5144.59</v>
      </c>
      <c r="G211" s="228"/>
      <c r="H211" s="7"/>
      <c r="I211" s="51"/>
      <c r="J211" s="50"/>
      <c r="K211" s="7"/>
      <c r="L211" s="51"/>
      <c r="M211" s="50"/>
      <c r="N211" s="7"/>
      <c r="O211" s="51"/>
      <c r="P211" s="129"/>
      <c r="Q211" s="127"/>
    </row>
    <row r="212" spans="1:17" ht="12.75">
      <c r="A212" s="166" t="s">
        <v>348</v>
      </c>
      <c r="B212" s="165"/>
      <c r="C212" s="184"/>
      <c r="D212" s="182">
        <v>2252.06</v>
      </c>
      <c r="E212" s="182"/>
      <c r="F212" s="183">
        <f t="shared" si="38"/>
        <v>2252.06</v>
      </c>
      <c r="G212" s="228"/>
      <c r="H212" s="7"/>
      <c r="I212" s="51"/>
      <c r="J212" s="50"/>
      <c r="K212" s="7"/>
      <c r="L212" s="51"/>
      <c r="M212" s="50"/>
      <c r="N212" s="7"/>
      <c r="O212" s="51"/>
      <c r="P212" s="129"/>
      <c r="Q212" s="127"/>
    </row>
    <row r="213" spans="1:17" ht="12.75">
      <c r="A213" s="166" t="s">
        <v>344</v>
      </c>
      <c r="B213" s="165">
        <v>2057</v>
      </c>
      <c r="C213" s="184"/>
      <c r="D213" s="182">
        <v>931.4</v>
      </c>
      <c r="E213" s="182"/>
      <c r="F213" s="183">
        <f t="shared" si="38"/>
        <v>931.4</v>
      </c>
      <c r="G213" s="228"/>
      <c r="H213" s="7"/>
      <c r="I213" s="51"/>
      <c r="J213" s="50"/>
      <c r="K213" s="7"/>
      <c r="L213" s="51"/>
      <c r="M213" s="50"/>
      <c r="N213" s="7"/>
      <c r="O213" s="51"/>
      <c r="P213" s="129"/>
      <c r="Q213" s="127"/>
    </row>
    <row r="214" spans="1:17" ht="12.75">
      <c r="A214" s="166" t="s">
        <v>283</v>
      </c>
      <c r="B214" s="165">
        <v>2057</v>
      </c>
      <c r="C214" s="184"/>
      <c r="D214" s="182">
        <f>2135.38</f>
        <v>2135.38</v>
      </c>
      <c r="E214" s="182"/>
      <c r="F214" s="183">
        <f t="shared" si="38"/>
        <v>2135.38</v>
      </c>
      <c r="G214" s="228"/>
      <c r="H214" s="7"/>
      <c r="I214" s="51"/>
      <c r="J214" s="50"/>
      <c r="K214" s="7"/>
      <c r="L214" s="51"/>
      <c r="M214" s="50"/>
      <c r="N214" s="7"/>
      <c r="O214" s="51"/>
      <c r="P214" s="129"/>
      <c r="Q214" s="127"/>
    </row>
    <row r="215" spans="1:17" ht="12.75">
      <c r="A215" s="70" t="s">
        <v>95</v>
      </c>
      <c r="B215" s="165"/>
      <c r="C215" s="184">
        <v>1878.6</v>
      </c>
      <c r="D215" s="182">
        <f>250+850+180.5+2679.5+300+345+653.28+584.31+440.96</f>
        <v>6283.55</v>
      </c>
      <c r="E215" s="182"/>
      <c r="F215" s="183">
        <f t="shared" si="38"/>
        <v>8162.15</v>
      </c>
      <c r="G215" s="228"/>
      <c r="H215" s="7"/>
      <c r="I215" s="51"/>
      <c r="J215" s="50"/>
      <c r="K215" s="7"/>
      <c r="L215" s="51"/>
      <c r="M215" s="50"/>
      <c r="N215" s="7"/>
      <c r="O215" s="51"/>
      <c r="P215" s="129"/>
      <c r="Q215" s="127"/>
    </row>
    <row r="216" spans="1:17" ht="12.75">
      <c r="A216" s="77" t="s">
        <v>67</v>
      </c>
      <c r="B216" s="169"/>
      <c r="C216" s="196">
        <f>SUM(C218:C222)</f>
        <v>0</v>
      </c>
      <c r="D216" s="197">
        <f>SUM(D218:D222)</f>
        <v>96602.01999999999</v>
      </c>
      <c r="E216" s="197">
        <f>SUM(E218:E222)</f>
        <v>0</v>
      </c>
      <c r="F216" s="198">
        <f>SUM(F218:F222)</f>
        <v>96602.01999999999</v>
      </c>
      <c r="G216" s="117"/>
      <c r="H216" s="13"/>
      <c r="I216" s="61">
        <f>SUM(I218:I222)</f>
        <v>42924.35</v>
      </c>
      <c r="J216" s="60"/>
      <c r="K216" s="13"/>
      <c r="L216" s="61">
        <f>SUM(L218:L222)</f>
        <v>42924.35</v>
      </c>
      <c r="M216" s="60"/>
      <c r="N216" s="13"/>
      <c r="O216" s="61">
        <f>SUM(O218:O222)</f>
        <v>42924.35</v>
      </c>
      <c r="P216" s="135"/>
      <c r="Q216" s="120">
        <f>SUM(Q218:Q222)</f>
        <v>42924.35</v>
      </c>
    </row>
    <row r="217" spans="1:17" ht="12.75">
      <c r="A217" s="79" t="s">
        <v>33</v>
      </c>
      <c r="B217" s="165"/>
      <c r="C217" s="184"/>
      <c r="D217" s="182"/>
      <c r="E217" s="182"/>
      <c r="F217" s="183"/>
      <c r="G217" s="228"/>
      <c r="H217" s="7"/>
      <c r="I217" s="51"/>
      <c r="J217" s="50"/>
      <c r="K217" s="7"/>
      <c r="L217" s="51"/>
      <c r="M217" s="50"/>
      <c r="N217" s="7"/>
      <c r="O217" s="51"/>
      <c r="P217" s="129"/>
      <c r="Q217" s="127"/>
    </row>
    <row r="218" spans="1:17" ht="12.75">
      <c r="A218" s="166" t="s">
        <v>344</v>
      </c>
      <c r="B218" s="165">
        <v>2057</v>
      </c>
      <c r="C218" s="184"/>
      <c r="D218" s="182">
        <v>42924.35</v>
      </c>
      <c r="E218" s="182"/>
      <c r="F218" s="183">
        <f>C218+D218+E218</f>
        <v>42924.35</v>
      </c>
      <c r="G218" s="228"/>
      <c r="H218" s="7"/>
      <c r="I218" s="51">
        <f>F218+G218+H218</f>
        <v>42924.35</v>
      </c>
      <c r="J218" s="50"/>
      <c r="K218" s="7"/>
      <c r="L218" s="51">
        <f>I218+J218+K218</f>
        <v>42924.35</v>
      </c>
      <c r="M218" s="50"/>
      <c r="N218" s="7"/>
      <c r="O218" s="51">
        <f>L218+M218+N218</f>
        <v>42924.35</v>
      </c>
      <c r="P218" s="129"/>
      <c r="Q218" s="127">
        <f aca="true" t="shared" si="39" ref="Q218:Q266">O218+P218</f>
        <v>42924.35</v>
      </c>
    </row>
    <row r="219" spans="1:17" ht="12.75">
      <c r="A219" s="273" t="s">
        <v>283</v>
      </c>
      <c r="B219" s="168">
        <v>2057</v>
      </c>
      <c r="C219" s="194"/>
      <c r="D219" s="195">
        <f>53677.67</f>
        <v>53677.67</v>
      </c>
      <c r="E219" s="195"/>
      <c r="F219" s="246">
        <f>C219+D219+E219</f>
        <v>53677.67</v>
      </c>
      <c r="G219" s="228"/>
      <c r="H219" s="7"/>
      <c r="I219" s="51"/>
      <c r="J219" s="50"/>
      <c r="K219" s="7"/>
      <c r="L219" s="51"/>
      <c r="M219" s="50"/>
      <c r="N219" s="7"/>
      <c r="O219" s="51"/>
      <c r="P219" s="129"/>
      <c r="Q219" s="127"/>
    </row>
    <row r="220" spans="1:17" ht="12.75" hidden="1">
      <c r="A220" s="70" t="s">
        <v>83</v>
      </c>
      <c r="B220" s="165"/>
      <c r="C220" s="184"/>
      <c r="D220" s="182"/>
      <c r="E220" s="182"/>
      <c r="F220" s="183">
        <f>C220+D220+E220</f>
        <v>0</v>
      </c>
      <c r="G220" s="228"/>
      <c r="H220" s="7"/>
      <c r="I220" s="51">
        <f>F220+G220+H220</f>
        <v>0</v>
      </c>
      <c r="J220" s="50"/>
      <c r="K220" s="7"/>
      <c r="L220" s="51">
        <f>I220+J220+K220</f>
        <v>0</v>
      </c>
      <c r="M220" s="50"/>
      <c r="N220" s="7"/>
      <c r="O220" s="51">
        <f>L220+M220+N220</f>
        <v>0</v>
      </c>
      <c r="P220" s="129"/>
      <c r="Q220" s="127">
        <f t="shared" si="39"/>
        <v>0</v>
      </c>
    </row>
    <row r="221" spans="1:17" ht="12.75" hidden="1">
      <c r="A221" s="73" t="s">
        <v>68</v>
      </c>
      <c r="B221" s="168"/>
      <c r="C221" s="194"/>
      <c r="D221" s="195"/>
      <c r="E221" s="195"/>
      <c r="F221" s="246">
        <f>C221+D221+E221</f>
        <v>0</v>
      </c>
      <c r="G221" s="228"/>
      <c r="H221" s="7"/>
      <c r="I221" s="51">
        <f>F221+G221+H221</f>
        <v>0</v>
      </c>
      <c r="J221" s="50"/>
      <c r="K221" s="7"/>
      <c r="L221" s="51">
        <f>I221+J221+K221</f>
        <v>0</v>
      </c>
      <c r="M221" s="50"/>
      <c r="N221" s="7"/>
      <c r="O221" s="51">
        <f>L221+M221+N221</f>
        <v>0</v>
      </c>
      <c r="P221" s="129"/>
      <c r="Q221" s="127">
        <f t="shared" si="39"/>
        <v>0</v>
      </c>
    </row>
    <row r="222" spans="1:17" ht="12.75" hidden="1">
      <c r="A222" s="73" t="s">
        <v>95</v>
      </c>
      <c r="B222" s="168"/>
      <c r="C222" s="194"/>
      <c r="D222" s="195"/>
      <c r="E222" s="195"/>
      <c r="F222" s="246">
        <f>C222+D222+E222</f>
        <v>0</v>
      </c>
      <c r="G222" s="16"/>
      <c r="H222" s="10"/>
      <c r="I222" s="55">
        <f>F222+G222+H222</f>
        <v>0</v>
      </c>
      <c r="J222" s="54"/>
      <c r="K222" s="10"/>
      <c r="L222" s="55">
        <f>I222+J222+K222</f>
        <v>0</v>
      </c>
      <c r="M222" s="54"/>
      <c r="N222" s="10"/>
      <c r="O222" s="55">
        <f>L222+M222+N222</f>
        <v>0</v>
      </c>
      <c r="P222" s="142"/>
      <c r="Q222" s="143">
        <f t="shared" si="39"/>
        <v>0</v>
      </c>
    </row>
    <row r="223" spans="1:17" ht="12.75">
      <c r="A223" s="67" t="s">
        <v>100</v>
      </c>
      <c r="B223" s="169"/>
      <c r="C223" s="179">
        <f>C224+C260</f>
        <v>353164.7</v>
      </c>
      <c r="D223" s="180">
        <f>D224+D260</f>
        <v>5181401.79</v>
      </c>
      <c r="E223" s="180">
        <f>E224+E260</f>
        <v>0</v>
      </c>
      <c r="F223" s="181">
        <f>F224+F260</f>
        <v>5534566.49</v>
      </c>
      <c r="G223" s="227"/>
      <c r="H223" s="6"/>
      <c r="I223" s="49">
        <f>I224+I260</f>
        <v>5516651.34</v>
      </c>
      <c r="J223" s="48"/>
      <c r="K223" s="6"/>
      <c r="L223" s="49">
        <f>L224+L260</f>
        <v>5516651.34</v>
      </c>
      <c r="M223" s="48"/>
      <c r="N223" s="6"/>
      <c r="O223" s="49">
        <f>O224+O260</f>
        <v>5516651.34</v>
      </c>
      <c r="P223" s="130"/>
      <c r="Q223" s="107">
        <f>Q224+Q260</f>
        <v>5516651.34</v>
      </c>
    </row>
    <row r="224" spans="1:17" ht="12.75">
      <c r="A224" s="76" t="s">
        <v>62</v>
      </c>
      <c r="B224" s="169"/>
      <c r="C224" s="191">
        <f>SUM(C226:C259)</f>
        <v>353164.7</v>
      </c>
      <c r="D224" s="192">
        <f>SUM(D226:D259)</f>
        <v>5181269.49</v>
      </c>
      <c r="E224" s="192">
        <f>SUM(E226:E259)</f>
        <v>0</v>
      </c>
      <c r="F224" s="193">
        <f>SUM(F226:F259)</f>
        <v>5534434.19</v>
      </c>
      <c r="G224" s="231"/>
      <c r="H224" s="12"/>
      <c r="I224" s="59">
        <f>SUM(I226:I259)</f>
        <v>5516519.04</v>
      </c>
      <c r="J224" s="58"/>
      <c r="K224" s="12"/>
      <c r="L224" s="59">
        <f>SUM(L226:L259)</f>
        <v>5516519.04</v>
      </c>
      <c r="M224" s="58"/>
      <c r="N224" s="12"/>
      <c r="O224" s="59">
        <f>SUM(O226:O259)</f>
        <v>5516519.04</v>
      </c>
      <c r="P224" s="134"/>
      <c r="Q224" s="108">
        <f>SUM(Q226:Q259)</f>
        <v>5516519.04</v>
      </c>
    </row>
    <row r="225" spans="1:17" ht="12.75">
      <c r="A225" s="68" t="s">
        <v>33</v>
      </c>
      <c r="B225" s="165"/>
      <c r="C225" s="184"/>
      <c r="D225" s="182"/>
      <c r="E225" s="182"/>
      <c r="F225" s="183"/>
      <c r="G225" s="228"/>
      <c r="H225" s="7"/>
      <c r="I225" s="51"/>
      <c r="J225" s="50"/>
      <c r="K225" s="7"/>
      <c r="L225" s="51"/>
      <c r="M225" s="50"/>
      <c r="N225" s="7"/>
      <c r="O225" s="51"/>
      <c r="P225" s="129"/>
      <c r="Q225" s="127"/>
    </row>
    <row r="226" spans="1:17" ht="12.75">
      <c r="A226" s="74" t="s">
        <v>91</v>
      </c>
      <c r="B226" s="165"/>
      <c r="C226" s="184">
        <v>324459.7</v>
      </c>
      <c r="D226" s="182">
        <f>1304+13289+1026+600</f>
        <v>16219</v>
      </c>
      <c r="E226" s="182"/>
      <c r="F226" s="183">
        <f aca="true" t="shared" si="40" ref="F226:F259">C226+D226+E226</f>
        <v>340678.7</v>
      </c>
      <c r="G226" s="228"/>
      <c r="H226" s="7"/>
      <c r="I226" s="51">
        <f>F226+G226+H226</f>
        <v>340678.7</v>
      </c>
      <c r="J226" s="50"/>
      <c r="K226" s="7"/>
      <c r="L226" s="51">
        <f>I226+J226+K226</f>
        <v>340678.7</v>
      </c>
      <c r="M226" s="50"/>
      <c r="N226" s="7"/>
      <c r="O226" s="51">
        <f>L226+M226+N226</f>
        <v>340678.7</v>
      </c>
      <c r="P226" s="129"/>
      <c r="Q226" s="127">
        <f t="shared" si="39"/>
        <v>340678.7</v>
      </c>
    </row>
    <row r="227" spans="1:17" ht="12.75">
      <c r="A227" s="74" t="s">
        <v>310</v>
      </c>
      <c r="B227" s="165"/>
      <c r="C227" s="184"/>
      <c r="D227" s="182"/>
      <c r="E227" s="182"/>
      <c r="F227" s="183"/>
      <c r="G227" s="228"/>
      <c r="H227" s="7"/>
      <c r="I227" s="51"/>
      <c r="J227" s="50"/>
      <c r="K227" s="7"/>
      <c r="L227" s="51"/>
      <c r="M227" s="50"/>
      <c r="N227" s="7"/>
      <c r="O227" s="51"/>
      <c r="P227" s="129"/>
      <c r="Q227" s="127"/>
    </row>
    <row r="228" spans="1:17" ht="12.75">
      <c r="A228" s="74" t="s">
        <v>101</v>
      </c>
      <c r="B228" s="165">
        <v>33353</v>
      </c>
      <c r="C228" s="184"/>
      <c r="D228" s="199">
        <v>1585037.69</v>
      </c>
      <c r="E228" s="182"/>
      <c r="F228" s="183">
        <f t="shared" si="40"/>
        <v>1585037.69</v>
      </c>
      <c r="G228" s="228"/>
      <c r="H228" s="7"/>
      <c r="I228" s="51">
        <f aca="true" t="shared" si="41" ref="I228:I259">F228+G228+H228</f>
        <v>1585037.69</v>
      </c>
      <c r="J228" s="50"/>
      <c r="K228" s="7"/>
      <c r="L228" s="51">
        <f aca="true" t="shared" si="42" ref="L228:L259">I228+J228+K228</f>
        <v>1585037.69</v>
      </c>
      <c r="M228" s="50"/>
      <c r="N228" s="7"/>
      <c r="O228" s="51">
        <f aca="true" t="shared" si="43" ref="O228:O259">L228+M228+N228</f>
        <v>1585037.69</v>
      </c>
      <c r="P228" s="129"/>
      <c r="Q228" s="127">
        <f t="shared" si="39"/>
        <v>1585037.69</v>
      </c>
    </row>
    <row r="229" spans="1:17" ht="12.75">
      <c r="A229" s="74" t="s">
        <v>103</v>
      </c>
      <c r="B229" s="165">
        <v>33353</v>
      </c>
      <c r="C229" s="184"/>
      <c r="D229" s="182">
        <v>3460930.97</v>
      </c>
      <c r="E229" s="182"/>
      <c r="F229" s="183">
        <f t="shared" si="40"/>
        <v>3460930.97</v>
      </c>
      <c r="G229" s="228"/>
      <c r="H229" s="7"/>
      <c r="I229" s="51">
        <f t="shared" si="41"/>
        <v>3460930.97</v>
      </c>
      <c r="J229" s="50"/>
      <c r="K229" s="7"/>
      <c r="L229" s="51">
        <f t="shared" si="42"/>
        <v>3460930.97</v>
      </c>
      <c r="M229" s="50"/>
      <c r="N229" s="7"/>
      <c r="O229" s="51">
        <f t="shared" si="43"/>
        <v>3460930.97</v>
      </c>
      <c r="P229" s="129"/>
      <c r="Q229" s="127">
        <f t="shared" si="39"/>
        <v>3460930.97</v>
      </c>
    </row>
    <row r="230" spans="1:17" ht="12.75">
      <c r="A230" s="74" t="s">
        <v>102</v>
      </c>
      <c r="B230" s="165">
        <v>33155</v>
      </c>
      <c r="C230" s="184"/>
      <c r="D230" s="199">
        <f>61775.7</f>
        <v>61775.7</v>
      </c>
      <c r="E230" s="182"/>
      <c r="F230" s="183">
        <f t="shared" si="40"/>
        <v>61775.7</v>
      </c>
      <c r="G230" s="228"/>
      <c r="H230" s="7"/>
      <c r="I230" s="51">
        <f t="shared" si="41"/>
        <v>61775.7</v>
      </c>
      <c r="J230" s="50"/>
      <c r="K230" s="7"/>
      <c r="L230" s="51">
        <f t="shared" si="42"/>
        <v>61775.7</v>
      </c>
      <c r="M230" s="50"/>
      <c r="N230" s="7"/>
      <c r="O230" s="51">
        <f t="shared" si="43"/>
        <v>61775.7</v>
      </c>
      <c r="P230" s="129"/>
      <c r="Q230" s="127">
        <f t="shared" si="39"/>
        <v>61775.7</v>
      </c>
    </row>
    <row r="231" spans="1:17" ht="12.75" hidden="1">
      <c r="A231" s="74" t="s">
        <v>104</v>
      </c>
      <c r="B231" s="165" t="s">
        <v>289</v>
      </c>
      <c r="C231" s="184"/>
      <c r="D231" s="182"/>
      <c r="E231" s="182"/>
      <c r="F231" s="183">
        <f t="shared" si="40"/>
        <v>0</v>
      </c>
      <c r="G231" s="228"/>
      <c r="H231" s="7"/>
      <c r="I231" s="51">
        <f t="shared" si="41"/>
        <v>0</v>
      </c>
      <c r="J231" s="50"/>
      <c r="K231" s="7"/>
      <c r="L231" s="51">
        <f t="shared" si="42"/>
        <v>0</v>
      </c>
      <c r="M231" s="50"/>
      <c r="N231" s="7"/>
      <c r="O231" s="51">
        <f t="shared" si="43"/>
        <v>0</v>
      </c>
      <c r="P231" s="129"/>
      <c r="Q231" s="127">
        <f t="shared" si="39"/>
        <v>0</v>
      </c>
    </row>
    <row r="232" spans="1:17" ht="12.75" hidden="1">
      <c r="A232" s="74" t="s">
        <v>105</v>
      </c>
      <c r="B232" s="165"/>
      <c r="C232" s="184"/>
      <c r="D232" s="182"/>
      <c r="E232" s="182"/>
      <c r="F232" s="183">
        <f t="shared" si="40"/>
        <v>0</v>
      </c>
      <c r="G232" s="228"/>
      <c r="H232" s="7"/>
      <c r="I232" s="51">
        <f t="shared" si="41"/>
        <v>0</v>
      </c>
      <c r="J232" s="50"/>
      <c r="K232" s="7"/>
      <c r="L232" s="51">
        <f t="shared" si="42"/>
        <v>0</v>
      </c>
      <c r="M232" s="50"/>
      <c r="N232" s="7"/>
      <c r="O232" s="51">
        <f t="shared" si="43"/>
        <v>0</v>
      </c>
      <c r="P232" s="129"/>
      <c r="Q232" s="127">
        <f t="shared" si="39"/>
        <v>0</v>
      </c>
    </row>
    <row r="233" spans="1:17" ht="12.75" hidden="1">
      <c r="A233" s="74" t="s">
        <v>195</v>
      </c>
      <c r="B233" s="165"/>
      <c r="C233" s="184"/>
      <c r="D233" s="182"/>
      <c r="E233" s="182"/>
      <c r="F233" s="183">
        <f t="shared" si="40"/>
        <v>0</v>
      </c>
      <c r="G233" s="228"/>
      <c r="H233" s="7"/>
      <c r="I233" s="51">
        <f t="shared" si="41"/>
        <v>0</v>
      </c>
      <c r="J233" s="50"/>
      <c r="K233" s="7"/>
      <c r="L233" s="51">
        <f t="shared" si="42"/>
        <v>0</v>
      </c>
      <c r="M233" s="50"/>
      <c r="N233" s="7"/>
      <c r="O233" s="51">
        <f t="shared" si="43"/>
        <v>0</v>
      </c>
      <c r="P233" s="129"/>
      <c r="Q233" s="127">
        <f t="shared" si="39"/>
        <v>0</v>
      </c>
    </row>
    <row r="234" spans="1:17" ht="12.75" hidden="1">
      <c r="A234" s="74" t="s">
        <v>106</v>
      </c>
      <c r="B234" s="165"/>
      <c r="C234" s="184"/>
      <c r="D234" s="182"/>
      <c r="E234" s="182"/>
      <c r="F234" s="183">
        <f t="shared" si="40"/>
        <v>0</v>
      </c>
      <c r="G234" s="228"/>
      <c r="H234" s="7"/>
      <c r="I234" s="51">
        <f t="shared" si="41"/>
        <v>0</v>
      </c>
      <c r="J234" s="50"/>
      <c r="K234" s="7"/>
      <c r="L234" s="51">
        <f t="shared" si="42"/>
        <v>0</v>
      </c>
      <c r="M234" s="50"/>
      <c r="N234" s="7"/>
      <c r="O234" s="51">
        <f t="shared" si="43"/>
        <v>0</v>
      </c>
      <c r="P234" s="129"/>
      <c r="Q234" s="127">
        <f t="shared" si="39"/>
        <v>0</v>
      </c>
    </row>
    <row r="235" spans="1:17" ht="12.75" hidden="1">
      <c r="A235" s="74" t="s">
        <v>165</v>
      </c>
      <c r="B235" s="165"/>
      <c r="C235" s="184"/>
      <c r="D235" s="182"/>
      <c r="E235" s="182"/>
      <c r="F235" s="183">
        <f t="shared" si="40"/>
        <v>0</v>
      </c>
      <c r="G235" s="228"/>
      <c r="H235" s="7"/>
      <c r="I235" s="51">
        <f t="shared" si="41"/>
        <v>0</v>
      </c>
      <c r="J235" s="50"/>
      <c r="K235" s="7"/>
      <c r="L235" s="51">
        <f t="shared" si="42"/>
        <v>0</v>
      </c>
      <c r="M235" s="50"/>
      <c r="N235" s="7"/>
      <c r="O235" s="51">
        <f t="shared" si="43"/>
        <v>0</v>
      </c>
      <c r="P235" s="129"/>
      <c r="Q235" s="127">
        <f t="shared" si="39"/>
        <v>0</v>
      </c>
    </row>
    <row r="236" spans="1:17" ht="12.75">
      <c r="A236" s="74" t="s">
        <v>284</v>
      </c>
      <c r="B236" s="165">
        <v>33215</v>
      </c>
      <c r="C236" s="184"/>
      <c r="D236" s="182">
        <f>8587.89</f>
        <v>8587.89</v>
      </c>
      <c r="E236" s="182"/>
      <c r="F236" s="183">
        <f t="shared" si="40"/>
        <v>8587.89</v>
      </c>
      <c r="G236" s="228"/>
      <c r="H236" s="7"/>
      <c r="I236" s="51">
        <f t="shared" si="41"/>
        <v>8587.89</v>
      </c>
      <c r="J236" s="50"/>
      <c r="K236" s="7"/>
      <c r="L236" s="51">
        <f t="shared" si="42"/>
        <v>8587.89</v>
      </c>
      <c r="M236" s="50"/>
      <c r="N236" s="7"/>
      <c r="O236" s="51">
        <f t="shared" si="43"/>
        <v>8587.89</v>
      </c>
      <c r="P236" s="129"/>
      <c r="Q236" s="127">
        <f t="shared" si="39"/>
        <v>8587.89</v>
      </c>
    </row>
    <row r="237" spans="1:17" ht="12.75">
      <c r="A237" s="74" t="s">
        <v>285</v>
      </c>
      <c r="B237" s="165">
        <v>33457</v>
      </c>
      <c r="C237" s="184"/>
      <c r="D237" s="182">
        <f>7762.19</f>
        <v>7762.19</v>
      </c>
      <c r="E237" s="182"/>
      <c r="F237" s="183">
        <f t="shared" si="40"/>
        <v>7762.19</v>
      </c>
      <c r="G237" s="228"/>
      <c r="H237" s="7"/>
      <c r="I237" s="51">
        <f t="shared" si="41"/>
        <v>7762.19</v>
      </c>
      <c r="J237" s="50"/>
      <c r="K237" s="7"/>
      <c r="L237" s="51">
        <f t="shared" si="42"/>
        <v>7762.19</v>
      </c>
      <c r="M237" s="50"/>
      <c r="N237" s="7"/>
      <c r="O237" s="51">
        <f t="shared" si="43"/>
        <v>7762.19</v>
      </c>
      <c r="P237" s="129"/>
      <c r="Q237" s="127">
        <f t="shared" si="39"/>
        <v>7762.19</v>
      </c>
    </row>
    <row r="238" spans="1:17" ht="12.75" hidden="1">
      <c r="A238" s="92" t="s">
        <v>258</v>
      </c>
      <c r="B238" s="165">
        <v>33052</v>
      </c>
      <c r="C238" s="184"/>
      <c r="D238" s="182"/>
      <c r="E238" s="182"/>
      <c r="F238" s="183">
        <f t="shared" si="40"/>
        <v>0</v>
      </c>
      <c r="G238" s="228"/>
      <c r="H238" s="7"/>
      <c r="I238" s="51">
        <f t="shared" si="41"/>
        <v>0</v>
      </c>
      <c r="J238" s="50"/>
      <c r="K238" s="7"/>
      <c r="L238" s="51">
        <f t="shared" si="42"/>
        <v>0</v>
      </c>
      <c r="M238" s="50"/>
      <c r="N238" s="7"/>
      <c r="O238" s="51">
        <f t="shared" si="43"/>
        <v>0</v>
      </c>
      <c r="P238" s="129"/>
      <c r="Q238" s="127">
        <f t="shared" si="39"/>
        <v>0</v>
      </c>
    </row>
    <row r="239" spans="1:17" ht="12.75">
      <c r="A239" s="92" t="s">
        <v>311</v>
      </c>
      <c r="B239" s="165">
        <v>33069</v>
      </c>
      <c r="C239" s="184"/>
      <c r="D239" s="182">
        <f>8921.07</f>
        <v>8921.07</v>
      </c>
      <c r="E239" s="182"/>
      <c r="F239" s="183">
        <f t="shared" si="40"/>
        <v>8921.07</v>
      </c>
      <c r="G239" s="228"/>
      <c r="H239" s="7"/>
      <c r="I239" s="51"/>
      <c r="J239" s="50"/>
      <c r="K239" s="7"/>
      <c r="L239" s="51"/>
      <c r="M239" s="50"/>
      <c r="N239" s="7"/>
      <c r="O239" s="51"/>
      <c r="P239" s="129"/>
      <c r="Q239" s="127"/>
    </row>
    <row r="240" spans="1:17" ht="12.75" hidden="1">
      <c r="A240" s="92" t="s">
        <v>190</v>
      </c>
      <c r="B240" s="165"/>
      <c r="C240" s="184"/>
      <c r="D240" s="182"/>
      <c r="E240" s="182"/>
      <c r="F240" s="183">
        <f t="shared" si="40"/>
        <v>0</v>
      </c>
      <c r="G240" s="228"/>
      <c r="H240" s="7"/>
      <c r="I240" s="51">
        <f t="shared" si="41"/>
        <v>0</v>
      </c>
      <c r="J240" s="50"/>
      <c r="K240" s="7"/>
      <c r="L240" s="51">
        <f t="shared" si="42"/>
        <v>0</v>
      </c>
      <c r="M240" s="50"/>
      <c r="N240" s="7"/>
      <c r="O240" s="51">
        <f t="shared" si="43"/>
        <v>0</v>
      </c>
      <c r="P240" s="129"/>
      <c r="Q240" s="127">
        <f t="shared" si="39"/>
        <v>0</v>
      </c>
    </row>
    <row r="241" spans="1:17" ht="12.75">
      <c r="A241" s="74" t="s">
        <v>259</v>
      </c>
      <c r="B241" s="165">
        <v>33050</v>
      </c>
      <c r="C241" s="184"/>
      <c r="D241" s="182">
        <f>149.6</f>
        <v>149.6</v>
      </c>
      <c r="E241" s="182"/>
      <c r="F241" s="183">
        <f t="shared" si="40"/>
        <v>149.6</v>
      </c>
      <c r="G241" s="228"/>
      <c r="H241" s="7"/>
      <c r="I241" s="51"/>
      <c r="J241" s="50"/>
      <c r="K241" s="7"/>
      <c r="L241" s="51">
        <f t="shared" si="42"/>
        <v>0</v>
      </c>
      <c r="M241" s="50"/>
      <c r="N241" s="7"/>
      <c r="O241" s="51">
        <f t="shared" si="43"/>
        <v>0</v>
      </c>
      <c r="P241" s="129"/>
      <c r="Q241" s="127">
        <f t="shared" si="39"/>
        <v>0</v>
      </c>
    </row>
    <row r="242" spans="1:17" ht="12.75">
      <c r="A242" s="74" t="s">
        <v>189</v>
      </c>
      <c r="B242" s="165">
        <v>33435</v>
      </c>
      <c r="C242" s="184"/>
      <c r="D242" s="182">
        <f>984</f>
        <v>984</v>
      </c>
      <c r="E242" s="182"/>
      <c r="F242" s="183">
        <f t="shared" si="40"/>
        <v>984</v>
      </c>
      <c r="G242" s="228"/>
      <c r="H242" s="7"/>
      <c r="I242" s="51">
        <f t="shared" si="41"/>
        <v>984</v>
      </c>
      <c r="J242" s="50"/>
      <c r="K242" s="7"/>
      <c r="L242" s="51">
        <f t="shared" si="42"/>
        <v>984</v>
      </c>
      <c r="M242" s="50"/>
      <c r="N242" s="7"/>
      <c r="O242" s="51">
        <f t="shared" si="43"/>
        <v>984</v>
      </c>
      <c r="P242" s="129"/>
      <c r="Q242" s="127">
        <f t="shared" si="39"/>
        <v>984</v>
      </c>
    </row>
    <row r="243" spans="1:17" ht="12.75">
      <c r="A243" s="74" t="s">
        <v>293</v>
      </c>
      <c r="B243" s="165">
        <v>33049</v>
      </c>
      <c r="C243" s="184"/>
      <c r="D243" s="182">
        <f>8844.48</f>
        <v>8844.48</v>
      </c>
      <c r="E243" s="182"/>
      <c r="F243" s="183">
        <f t="shared" si="40"/>
        <v>8844.48</v>
      </c>
      <c r="G243" s="228"/>
      <c r="H243" s="7"/>
      <c r="I243" s="51"/>
      <c r="J243" s="50"/>
      <c r="K243" s="7"/>
      <c r="L243" s="51"/>
      <c r="M243" s="50"/>
      <c r="N243" s="7"/>
      <c r="O243" s="51"/>
      <c r="P243" s="129"/>
      <c r="Q243" s="127"/>
    </row>
    <row r="244" spans="1:17" ht="12.75" hidden="1">
      <c r="A244" s="74" t="s">
        <v>260</v>
      </c>
      <c r="B244" s="165">
        <v>33044</v>
      </c>
      <c r="C244" s="184"/>
      <c r="D244" s="182"/>
      <c r="E244" s="182"/>
      <c r="F244" s="183">
        <f t="shared" si="40"/>
        <v>0</v>
      </c>
      <c r="G244" s="228"/>
      <c r="H244" s="7"/>
      <c r="I244" s="51"/>
      <c r="J244" s="50"/>
      <c r="K244" s="7"/>
      <c r="L244" s="51">
        <f t="shared" si="42"/>
        <v>0</v>
      </c>
      <c r="M244" s="50"/>
      <c r="N244" s="7"/>
      <c r="O244" s="51">
        <f t="shared" si="43"/>
        <v>0</v>
      </c>
      <c r="P244" s="129"/>
      <c r="Q244" s="127">
        <f t="shared" si="39"/>
        <v>0</v>
      </c>
    </row>
    <row r="245" spans="1:17" ht="12.75" hidden="1">
      <c r="A245" s="74" t="s">
        <v>267</v>
      </c>
      <c r="B245" s="165">
        <v>33024</v>
      </c>
      <c r="C245" s="184"/>
      <c r="D245" s="182"/>
      <c r="E245" s="182"/>
      <c r="F245" s="183">
        <f t="shared" si="40"/>
        <v>0</v>
      </c>
      <c r="G245" s="228"/>
      <c r="H245" s="7"/>
      <c r="I245" s="51"/>
      <c r="J245" s="50"/>
      <c r="K245" s="7"/>
      <c r="L245" s="51"/>
      <c r="M245" s="50"/>
      <c r="N245" s="7"/>
      <c r="O245" s="51"/>
      <c r="P245" s="129"/>
      <c r="Q245" s="127"/>
    </row>
    <row r="246" spans="1:17" ht="12.75" hidden="1">
      <c r="A246" s="92" t="s">
        <v>199</v>
      </c>
      <c r="B246" s="165">
        <v>33018</v>
      </c>
      <c r="C246" s="184"/>
      <c r="D246" s="182"/>
      <c r="E246" s="182"/>
      <c r="F246" s="183">
        <f t="shared" si="40"/>
        <v>0</v>
      </c>
      <c r="G246" s="228"/>
      <c r="H246" s="7"/>
      <c r="I246" s="51"/>
      <c r="J246" s="50"/>
      <c r="K246" s="7"/>
      <c r="L246" s="51">
        <f t="shared" si="42"/>
        <v>0</v>
      </c>
      <c r="M246" s="50"/>
      <c r="N246" s="7"/>
      <c r="O246" s="51">
        <f t="shared" si="43"/>
        <v>0</v>
      </c>
      <c r="P246" s="129"/>
      <c r="Q246" s="127">
        <f t="shared" si="39"/>
        <v>0</v>
      </c>
    </row>
    <row r="247" spans="1:17" ht="12.75" hidden="1">
      <c r="A247" s="72" t="s">
        <v>200</v>
      </c>
      <c r="B247" s="165"/>
      <c r="C247" s="184"/>
      <c r="D247" s="182"/>
      <c r="E247" s="182"/>
      <c r="F247" s="183">
        <f t="shared" si="40"/>
        <v>0</v>
      </c>
      <c r="G247" s="228"/>
      <c r="H247" s="7"/>
      <c r="I247" s="51"/>
      <c r="J247" s="50"/>
      <c r="K247" s="7"/>
      <c r="L247" s="51">
        <f t="shared" si="42"/>
        <v>0</v>
      </c>
      <c r="M247" s="50"/>
      <c r="N247" s="7"/>
      <c r="O247" s="51">
        <f t="shared" si="43"/>
        <v>0</v>
      </c>
      <c r="P247" s="129"/>
      <c r="Q247" s="127">
        <f t="shared" si="39"/>
        <v>0</v>
      </c>
    </row>
    <row r="248" spans="1:17" ht="12.75">
      <c r="A248" s="92" t="s">
        <v>232</v>
      </c>
      <c r="B248" s="165">
        <v>33160</v>
      </c>
      <c r="C248" s="184"/>
      <c r="D248" s="182">
        <f>256.1</f>
        <v>256.1</v>
      </c>
      <c r="E248" s="182"/>
      <c r="F248" s="183">
        <f t="shared" si="40"/>
        <v>256.1</v>
      </c>
      <c r="G248" s="228"/>
      <c r="H248" s="7"/>
      <c r="I248" s="51">
        <f t="shared" si="41"/>
        <v>256.1</v>
      </c>
      <c r="J248" s="50"/>
      <c r="K248" s="7"/>
      <c r="L248" s="51">
        <f t="shared" si="42"/>
        <v>256.1</v>
      </c>
      <c r="M248" s="50"/>
      <c r="N248" s="7"/>
      <c r="O248" s="51">
        <f t="shared" si="43"/>
        <v>256.1</v>
      </c>
      <c r="P248" s="129"/>
      <c r="Q248" s="127">
        <f t="shared" si="39"/>
        <v>256.1</v>
      </c>
    </row>
    <row r="249" spans="1:17" ht="12.75" hidden="1">
      <c r="A249" s="74" t="s">
        <v>175</v>
      </c>
      <c r="B249" s="165"/>
      <c r="C249" s="184"/>
      <c r="D249" s="182"/>
      <c r="E249" s="182"/>
      <c r="F249" s="183">
        <f t="shared" si="40"/>
        <v>0</v>
      </c>
      <c r="G249" s="228"/>
      <c r="H249" s="7"/>
      <c r="I249" s="51">
        <f t="shared" si="41"/>
        <v>0</v>
      </c>
      <c r="J249" s="50"/>
      <c r="K249" s="7"/>
      <c r="L249" s="51">
        <f t="shared" si="42"/>
        <v>0</v>
      </c>
      <c r="M249" s="50"/>
      <c r="N249" s="7"/>
      <c r="O249" s="51">
        <f t="shared" si="43"/>
        <v>0</v>
      </c>
      <c r="P249" s="129"/>
      <c r="Q249" s="127">
        <f t="shared" si="39"/>
        <v>0</v>
      </c>
    </row>
    <row r="250" spans="1:17" ht="12.75" hidden="1">
      <c r="A250" s="92" t="s">
        <v>160</v>
      </c>
      <c r="B250" s="165"/>
      <c r="C250" s="184"/>
      <c r="D250" s="182"/>
      <c r="E250" s="182"/>
      <c r="F250" s="183">
        <f t="shared" si="40"/>
        <v>0</v>
      </c>
      <c r="G250" s="228"/>
      <c r="H250" s="7"/>
      <c r="I250" s="51">
        <f t="shared" si="41"/>
        <v>0</v>
      </c>
      <c r="J250" s="50"/>
      <c r="K250" s="7"/>
      <c r="L250" s="51">
        <f t="shared" si="42"/>
        <v>0</v>
      </c>
      <c r="M250" s="50"/>
      <c r="N250" s="7"/>
      <c r="O250" s="51">
        <f t="shared" si="43"/>
        <v>0</v>
      </c>
      <c r="P250" s="129"/>
      <c r="Q250" s="127">
        <f t="shared" si="39"/>
        <v>0</v>
      </c>
    </row>
    <row r="251" spans="1:17" ht="12.75" hidden="1">
      <c r="A251" s="92" t="s">
        <v>174</v>
      </c>
      <c r="B251" s="165"/>
      <c r="C251" s="184"/>
      <c r="D251" s="182"/>
      <c r="E251" s="182"/>
      <c r="F251" s="183">
        <f t="shared" si="40"/>
        <v>0</v>
      </c>
      <c r="G251" s="228"/>
      <c r="H251" s="7"/>
      <c r="I251" s="51">
        <f t="shared" si="41"/>
        <v>0</v>
      </c>
      <c r="J251" s="50"/>
      <c r="K251" s="7"/>
      <c r="L251" s="51">
        <f t="shared" si="42"/>
        <v>0</v>
      </c>
      <c r="M251" s="50"/>
      <c r="N251" s="7"/>
      <c r="O251" s="51">
        <f t="shared" si="43"/>
        <v>0</v>
      </c>
      <c r="P251" s="129"/>
      <c r="Q251" s="127">
        <f t="shared" si="39"/>
        <v>0</v>
      </c>
    </row>
    <row r="252" spans="1:17" ht="12.75" hidden="1">
      <c r="A252" s="74" t="s">
        <v>107</v>
      </c>
      <c r="B252" s="165">
        <v>33025</v>
      </c>
      <c r="C252" s="184"/>
      <c r="D252" s="182"/>
      <c r="E252" s="182"/>
      <c r="F252" s="183">
        <f t="shared" si="40"/>
        <v>0</v>
      </c>
      <c r="G252" s="228"/>
      <c r="H252" s="7"/>
      <c r="I252" s="51">
        <f t="shared" si="41"/>
        <v>0</v>
      </c>
      <c r="J252" s="50"/>
      <c r="K252" s="7"/>
      <c r="L252" s="51">
        <f t="shared" si="42"/>
        <v>0</v>
      </c>
      <c r="M252" s="50"/>
      <c r="N252" s="7"/>
      <c r="O252" s="51">
        <f t="shared" si="43"/>
        <v>0</v>
      </c>
      <c r="P252" s="129"/>
      <c r="Q252" s="127">
        <f t="shared" si="39"/>
        <v>0</v>
      </c>
    </row>
    <row r="253" spans="1:17" ht="12.75" hidden="1">
      <c r="A253" s="74" t="s">
        <v>211</v>
      </c>
      <c r="B253" s="165">
        <v>33038</v>
      </c>
      <c r="C253" s="184"/>
      <c r="D253" s="182"/>
      <c r="E253" s="182"/>
      <c r="F253" s="183">
        <f t="shared" si="40"/>
        <v>0</v>
      </c>
      <c r="G253" s="228"/>
      <c r="H253" s="7"/>
      <c r="I253" s="51">
        <f t="shared" si="41"/>
        <v>0</v>
      </c>
      <c r="J253" s="50"/>
      <c r="K253" s="7"/>
      <c r="L253" s="51">
        <f t="shared" si="42"/>
        <v>0</v>
      </c>
      <c r="M253" s="50"/>
      <c r="N253" s="7"/>
      <c r="O253" s="51">
        <f t="shared" si="43"/>
        <v>0</v>
      </c>
      <c r="P253" s="129"/>
      <c r="Q253" s="127">
        <f t="shared" si="39"/>
        <v>0</v>
      </c>
    </row>
    <row r="254" spans="1:17" ht="12.75" hidden="1">
      <c r="A254" s="74" t="s">
        <v>171</v>
      </c>
      <c r="B254" s="165">
        <v>33123</v>
      </c>
      <c r="C254" s="184"/>
      <c r="D254" s="182"/>
      <c r="E254" s="182"/>
      <c r="F254" s="183">
        <f t="shared" si="40"/>
        <v>0</v>
      </c>
      <c r="G254" s="228"/>
      <c r="H254" s="7"/>
      <c r="I254" s="51">
        <f t="shared" si="41"/>
        <v>0</v>
      </c>
      <c r="J254" s="50"/>
      <c r="K254" s="7"/>
      <c r="L254" s="51">
        <f t="shared" si="42"/>
        <v>0</v>
      </c>
      <c r="M254" s="50"/>
      <c r="N254" s="7"/>
      <c r="O254" s="51">
        <f t="shared" si="43"/>
        <v>0</v>
      </c>
      <c r="P254" s="129"/>
      <c r="Q254" s="127">
        <f t="shared" si="39"/>
        <v>0</v>
      </c>
    </row>
    <row r="255" spans="1:17" ht="12.75" hidden="1">
      <c r="A255" s="74" t="s">
        <v>210</v>
      </c>
      <c r="B255" s="165">
        <v>33031</v>
      </c>
      <c r="C255" s="184"/>
      <c r="D255" s="182"/>
      <c r="E255" s="182"/>
      <c r="F255" s="183">
        <f t="shared" si="40"/>
        <v>0</v>
      </c>
      <c r="G255" s="228"/>
      <c r="H255" s="7"/>
      <c r="I255" s="51"/>
      <c r="J255" s="50"/>
      <c r="K255" s="7"/>
      <c r="L255" s="51"/>
      <c r="M255" s="50"/>
      <c r="N255" s="7"/>
      <c r="O255" s="51"/>
      <c r="P255" s="129"/>
      <c r="Q255" s="127"/>
    </row>
    <row r="256" spans="1:17" ht="12.75">
      <c r="A256" s="74" t="s">
        <v>336</v>
      </c>
      <c r="B256" s="165"/>
      <c r="C256" s="184"/>
      <c r="D256" s="182">
        <f>17565.21</f>
        <v>17565.21</v>
      </c>
      <c r="E256" s="182"/>
      <c r="F256" s="183">
        <f t="shared" si="40"/>
        <v>17565.21</v>
      </c>
      <c r="G256" s="228"/>
      <c r="H256" s="7"/>
      <c r="I256" s="51">
        <f t="shared" si="41"/>
        <v>17565.21</v>
      </c>
      <c r="J256" s="50"/>
      <c r="K256" s="7"/>
      <c r="L256" s="51">
        <f t="shared" si="42"/>
        <v>17565.21</v>
      </c>
      <c r="M256" s="50"/>
      <c r="N256" s="7"/>
      <c r="O256" s="51">
        <f t="shared" si="43"/>
        <v>17565.21</v>
      </c>
      <c r="P256" s="129"/>
      <c r="Q256" s="127">
        <f t="shared" si="39"/>
        <v>17565.21</v>
      </c>
    </row>
    <row r="257" spans="1:17" ht="12.75" hidden="1">
      <c r="A257" s="74" t="s">
        <v>108</v>
      </c>
      <c r="B257" s="165"/>
      <c r="C257" s="184"/>
      <c r="D257" s="182"/>
      <c r="E257" s="182"/>
      <c r="F257" s="183">
        <f t="shared" si="40"/>
        <v>0</v>
      </c>
      <c r="G257" s="228"/>
      <c r="H257" s="7"/>
      <c r="I257" s="51">
        <f t="shared" si="41"/>
        <v>0</v>
      </c>
      <c r="J257" s="50"/>
      <c r="K257" s="7"/>
      <c r="L257" s="51">
        <f t="shared" si="42"/>
        <v>0</v>
      </c>
      <c r="M257" s="50"/>
      <c r="N257" s="7"/>
      <c r="O257" s="51">
        <f t="shared" si="43"/>
        <v>0</v>
      </c>
      <c r="P257" s="129"/>
      <c r="Q257" s="127">
        <f t="shared" si="39"/>
        <v>0</v>
      </c>
    </row>
    <row r="258" spans="1:17" ht="12.75">
      <c r="A258" s="74" t="s">
        <v>94</v>
      </c>
      <c r="B258" s="165"/>
      <c r="C258" s="184"/>
      <c r="D258" s="182">
        <f>402</f>
        <v>402</v>
      </c>
      <c r="E258" s="182"/>
      <c r="F258" s="183">
        <f t="shared" si="40"/>
        <v>402</v>
      </c>
      <c r="G258" s="228"/>
      <c r="H258" s="7"/>
      <c r="I258" s="51">
        <f t="shared" si="41"/>
        <v>402</v>
      </c>
      <c r="J258" s="50"/>
      <c r="K258" s="7"/>
      <c r="L258" s="51">
        <f t="shared" si="42"/>
        <v>402</v>
      </c>
      <c r="M258" s="65"/>
      <c r="N258" s="7"/>
      <c r="O258" s="51">
        <f t="shared" si="43"/>
        <v>402</v>
      </c>
      <c r="P258" s="129"/>
      <c r="Q258" s="127">
        <f t="shared" si="39"/>
        <v>402</v>
      </c>
    </row>
    <row r="259" spans="1:17" ht="12.75">
      <c r="A259" s="74" t="s">
        <v>64</v>
      </c>
      <c r="B259" s="165"/>
      <c r="C259" s="184">
        <v>28705</v>
      </c>
      <c r="D259" s="182">
        <f>439+856.59-1000-13091+7400+9000+179+50</f>
        <v>3833.59</v>
      </c>
      <c r="E259" s="182"/>
      <c r="F259" s="183">
        <f t="shared" si="40"/>
        <v>32538.59</v>
      </c>
      <c r="G259" s="228"/>
      <c r="H259" s="7"/>
      <c r="I259" s="51">
        <f t="shared" si="41"/>
        <v>32538.59</v>
      </c>
      <c r="J259" s="50"/>
      <c r="K259" s="7"/>
      <c r="L259" s="51">
        <f t="shared" si="42"/>
        <v>32538.59</v>
      </c>
      <c r="M259" s="65"/>
      <c r="N259" s="7"/>
      <c r="O259" s="51">
        <f t="shared" si="43"/>
        <v>32538.59</v>
      </c>
      <c r="P259" s="129"/>
      <c r="Q259" s="127">
        <f t="shared" si="39"/>
        <v>32538.59</v>
      </c>
    </row>
    <row r="260" spans="1:17" ht="12.75">
      <c r="A260" s="77" t="s">
        <v>67</v>
      </c>
      <c r="B260" s="169"/>
      <c r="C260" s="196">
        <f>SUM(C262:C266)</f>
        <v>0</v>
      </c>
      <c r="D260" s="197">
        <f>SUM(D262:D266)</f>
        <v>132.3</v>
      </c>
      <c r="E260" s="197"/>
      <c r="F260" s="198">
        <f>SUM(F262:F266)</f>
        <v>132.3</v>
      </c>
      <c r="G260" s="117"/>
      <c r="H260" s="13"/>
      <c r="I260" s="61">
        <f>SUM(I262:I266)</f>
        <v>132.3</v>
      </c>
      <c r="J260" s="60"/>
      <c r="K260" s="13"/>
      <c r="L260" s="61">
        <f>SUM(L262:L266)</f>
        <v>132.3</v>
      </c>
      <c r="M260" s="60"/>
      <c r="N260" s="13"/>
      <c r="O260" s="61">
        <f>SUM(O262:O266)</f>
        <v>132.3</v>
      </c>
      <c r="P260" s="135"/>
      <c r="Q260" s="120">
        <f>SUM(Q262:Q266)</f>
        <v>132.3</v>
      </c>
    </row>
    <row r="261" spans="1:17" ht="12.75">
      <c r="A261" s="72" t="s">
        <v>33</v>
      </c>
      <c r="B261" s="165"/>
      <c r="C261" s="184"/>
      <c r="D261" s="182"/>
      <c r="E261" s="182"/>
      <c r="F261" s="183"/>
      <c r="G261" s="228"/>
      <c r="H261" s="7"/>
      <c r="I261" s="49"/>
      <c r="J261" s="50"/>
      <c r="K261" s="7"/>
      <c r="L261" s="49"/>
      <c r="M261" s="50"/>
      <c r="N261" s="7"/>
      <c r="O261" s="49"/>
      <c r="P261" s="129"/>
      <c r="Q261" s="127"/>
    </row>
    <row r="262" spans="1:17" ht="12.75">
      <c r="A262" s="81" t="s">
        <v>109</v>
      </c>
      <c r="B262" s="168"/>
      <c r="C262" s="194"/>
      <c r="D262" s="195">
        <f>132.3</f>
        <v>132.3</v>
      </c>
      <c r="E262" s="195"/>
      <c r="F262" s="246">
        <f>C262+D262+E262</f>
        <v>132.3</v>
      </c>
      <c r="G262" s="228"/>
      <c r="H262" s="7"/>
      <c r="I262" s="51">
        <f>F262+G262+H262</f>
        <v>132.3</v>
      </c>
      <c r="J262" s="50"/>
      <c r="K262" s="7"/>
      <c r="L262" s="51">
        <f>I262+J262+K262</f>
        <v>132.3</v>
      </c>
      <c r="M262" s="50"/>
      <c r="N262" s="7"/>
      <c r="O262" s="51">
        <f>L262+M262+N262</f>
        <v>132.3</v>
      </c>
      <c r="P262" s="129"/>
      <c r="Q262" s="127">
        <f t="shared" si="39"/>
        <v>132.3</v>
      </c>
    </row>
    <row r="263" spans="1:17" ht="12.75" hidden="1">
      <c r="A263" s="74" t="s">
        <v>83</v>
      </c>
      <c r="B263" s="165"/>
      <c r="C263" s="184"/>
      <c r="D263" s="182"/>
      <c r="E263" s="182"/>
      <c r="F263" s="183">
        <f>C263+D263+E263</f>
        <v>0</v>
      </c>
      <c r="G263" s="228"/>
      <c r="H263" s="7"/>
      <c r="I263" s="51">
        <f>F263+G263+H263</f>
        <v>0</v>
      </c>
      <c r="J263" s="50"/>
      <c r="K263" s="7"/>
      <c r="L263" s="51">
        <f>I263+J263+K263</f>
        <v>0</v>
      </c>
      <c r="M263" s="50"/>
      <c r="N263" s="7"/>
      <c r="O263" s="51">
        <f>L263+M263+N263</f>
        <v>0</v>
      </c>
      <c r="P263" s="129"/>
      <c r="Q263" s="127">
        <f t="shared" si="39"/>
        <v>0</v>
      </c>
    </row>
    <row r="264" spans="1:17" ht="12.75" hidden="1">
      <c r="A264" s="74" t="s">
        <v>110</v>
      </c>
      <c r="B264" s="165"/>
      <c r="C264" s="184"/>
      <c r="D264" s="182"/>
      <c r="E264" s="182"/>
      <c r="F264" s="183">
        <f>C264+D264+E264</f>
        <v>0</v>
      </c>
      <c r="G264" s="228"/>
      <c r="H264" s="7"/>
      <c r="I264" s="51">
        <f>F264+G264+H264</f>
        <v>0</v>
      </c>
      <c r="J264" s="50"/>
      <c r="K264" s="7"/>
      <c r="L264" s="51">
        <f>I264+J264+K264</f>
        <v>0</v>
      </c>
      <c r="M264" s="50"/>
      <c r="N264" s="7"/>
      <c r="O264" s="51">
        <f>L264+M264+N264</f>
        <v>0</v>
      </c>
      <c r="P264" s="129"/>
      <c r="Q264" s="127">
        <f t="shared" si="39"/>
        <v>0</v>
      </c>
    </row>
    <row r="265" spans="1:17" ht="12.75" hidden="1">
      <c r="A265" s="74" t="s">
        <v>68</v>
      </c>
      <c r="B265" s="165"/>
      <c r="C265" s="184"/>
      <c r="D265" s="182"/>
      <c r="E265" s="182"/>
      <c r="F265" s="183">
        <f>C265+D265+E265</f>
        <v>0</v>
      </c>
      <c r="G265" s="228"/>
      <c r="H265" s="7"/>
      <c r="I265" s="51">
        <f>F265+G265+H265</f>
        <v>0</v>
      </c>
      <c r="J265" s="50"/>
      <c r="K265" s="9"/>
      <c r="L265" s="51">
        <f>I265+J265+K265</f>
        <v>0</v>
      </c>
      <c r="M265" s="50"/>
      <c r="N265" s="7"/>
      <c r="O265" s="51">
        <f>L265+M265+N265</f>
        <v>0</v>
      </c>
      <c r="P265" s="129"/>
      <c r="Q265" s="127">
        <f t="shared" si="39"/>
        <v>0</v>
      </c>
    </row>
    <row r="266" spans="1:17" ht="12.75" hidden="1">
      <c r="A266" s="81" t="s">
        <v>94</v>
      </c>
      <c r="B266" s="168"/>
      <c r="C266" s="194"/>
      <c r="D266" s="195"/>
      <c r="E266" s="195"/>
      <c r="F266" s="246">
        <f>C266+D266+E266</f>
        <v>0</v>
      </c>
      <c r="G266" s="16"/>
      <c r="H266" s="10"/>
      <c r="I266" s="55">
        <f>F266+G266+H266</f>
        <v>0</v>
      </c>
      <c r="J266" s="54"/>
      <c r="K266" s="106"/>
      <c r="L266" s="55">
        <f>I266+J266+K266</f>
        <v>0</v>
      </c>
      <c r="M266" s="54"/>
      <c r="N266" s="10"/>
      <c r="O266" s="55">
        <f>L266+M266+N266</f>
        <v>0</v>
      </c>
      <c r="P266" s="142"/>
      <c r="Q266" s="143">
        <f t="shared" si="39"/>
        <v>0</v>
      </c>
    </row>
    <row r="267" spans="1:17" ht="12.75">
      <c r="A267" s="67" t="s">
        <v>111</v>
      </c>
      <c r="B267" s="169"/>
      <c r="C267" s="179">
        <f>C268+C280</f>
        <v>383327.2</v>
      </c>
      <c r="D267" s="180">
        <f>D268+D280</f>
        <v>92423.39</v>
      </c>
      <c r="E267" s="180">
        <f>E268+E280</f>
        <v>0</v>
      </c>
      <c r="F267" s="181">
        <f>F268+F280</f>
        <v>475750.59</v>
      </c>
      <c r="G267" s="227"/>
      <c r="H267" s="6"/>
      <c r="I267" s="49">
        <f>I268+I280</f>
        <v>378485.09</v>
      </c>
      <c r="J267" s="48"/>
      <c r="K267" s="6"/>
      <c r="L267" s="49">
        <f>L268+L280</f>
        <v>378485.09</v>
      </c>
      <c r="M267" s="48"/>
      <c r="N267" s="6"/>
      <c r="O267" s="49">
        <f>O268+O280</f>
        <v>378485.09</v>
      </c>
      <c r="P267" s="130"/>
      <c r="Q267" s="107">
        <f>Q268+Q280</f>
        <v>378485.09</v>
      </c>
    </row>
    <row r="268" spans="1:17" ht="12.75">
      <c r="A268" s="76" t="s">
        <v>62</v>
      </c>
      <c r="B268" s="169"/>
      <c r="C268" s="191">
        <f aca="true" t="shared" si="44" ref="C268:O268">SUM(C270:C279)</f>
        <v>383327.2</v>
      </c>
      <c r="D268" s="192">
        <f t="shared" si="44"/>
        <v>46423.39</v>
      </c>
      <c r="E268" s="192">
        <f>SUM(E270:E279)</f>
        <v>0</v>
      </c>
      <c r="F268" s="193">
        <f t="shared" si="44"/>
        <v>429750.59</v>
      </c>
      <c r="G268" s="231"/>
      <c r="H268" s="12"/>
      <c r="I268" s="59">
        <f t="shared" si="44"/>
        <v>378485.09</v>
      </c>
      <c r="J268" s="58"/>
      <c r="K268" s="12"/>
      <c r="L268" s="59">
        <f t="shared" si="44"/>
        <v>378485.09</v>
      </c>
      <c r="M268" s="58"/>
      <c r="N268" s="12"/>
      <c r="O268" s="59">
        <f t="shared" si="44"/>
        <v>378485.09</v>
      </c>
      <c r="P268" s="134"/>
      <c r="Q268" s="108">
        <f>SUM(Q270:Q279)</f>
        <v>378485.09</v>
      </c>
    </row>
    <row r="269" spans="1:17" ht="12.75">
      <c r="A269" s="72" t="s">
        <v>33</v>
      </c>
      <c r="B269" s="165"/>
      <c r="C269" s="184"/>
      <c r="D269" s="182"/>
      <c r="E269" s="182"/>
      <c r="F269" s="181"/>
      <c r="G269" s="228"/>
      <c r="H269" s="7"/>
      <c r="I269" s="49"/>
      <c r="J269" s="50"/>
      <c r="K269" s="7"/>
      <c r="L269" s="49"/>
      <c r="M269" s="50"/>
      <c r="N269" s="7"/>
      <c r="O269" s="49"/>
      <c r="P269" s="129"/>
      <c r="Q269" s="127"/>
    </row>
    <row r="270" spans="1:17" ht="12.75">
      <c r="A270" s="69" t="s">
        <v>91</v>
      </c>
      <c r="B270" s="165"/>
      <c r="C270" s="184">
        <v>223604</v>
      </c>
      <c r="D270" s="182"/>
      <c r="E270" s="182"/>
      <c r="F270" s="183">
        <f aca="true" t="shared" si="45" ref="F270:F279">C270+D270+E270</f>
        <v>223604</v>
      </c>
      <c r="G270" s="228"/>
      <c r="H270" s="7"/>
      <c r="I270" s="51">
        <f aca="true" t="shared" si="46" ref="I270:I279">F270+G270+H270</f>
        <v>223604</v>
      </c>
      <c r="J270" s="50"/>
      <c r="K270" s="7"/>
      <c r="L270" s="51">
        <f aca="true" t="shared" si="47" ref="L270:L279">I270+J270+K270</f>
        <v>223604</v>
      </c>
      <c r="M270" s="50"/>
      <c r="N270" s="7"/>
      <c r="O270" s="51">
        <f aca="true" t="shared" si="48" ref="O270:O279">L270+M270+N270</f>
        <v>223604</v>
      </c>
      <c r="P270" s="129"/>
      <c r="Q270" s="127">
        <f>O270+P270</f>
        <v>223604</v>
      </c>
    </row>
    <row r="271" spans="1:17" ht="12.75">
      <c r="A271" s="166" t="s">
        <v>276</v>
      </c>
      <c r="B271" s="165"/>
      <c r="C271" s="184">
        <v>8417.5</v>
      </c>
      <c r="D271" s="182">
        <f>2848+10000</f>
        <v>12848</v>
      </c>
      <c r="E271" s="182"/>
      <c r="F271" s="183">
        <f t="shared" si="45"/>
        <v>21265.5</v>
      </c>
      <c r="G271" s="228"/>
      <c r="H271" s="7"/>
      <c r="I271" s="51"/>
      <c r="J271" s="50"/>
      <c r="K271" s="7"/>
      <c r="L271" s="51"/>
      <c r="M271" s="50"/>
      <c r="N271" s="7"/>
      <c r="O271" s="51"/>
      <c r="P271" s="129"/>
      <c r="Q271" s="127"/>
    </row>
    <row r="272" spans="1:17" ht="12.75">
      <c r="A272" s="74" t="s">
        <v>78</v>
      </c>
      <c r="B272" s="165"/>
      <c r="C272" s="184">
        <v>100000</v>
      </c>
      <c r="D272" s="182">
        <f>500+30000</f>
        <v>30500</v>
      </c>
      <c r="E272" s="182"/>
      <c r="F272" s="183">
        <f t="shared" si="45"/>
        <v>130500</v>
      </c>
      <c r="G272" s="228"/>
      <c r="H272" s="7"/>
      <c r="I272" s="51">
        <f t="shared" si="46"/>
        <v>130500</v>
      </c>
      <c r="J272" s="50"/>
      <c r="K272" s="7"/>
      <c r="L272" s="51">
        <f t="shared" si="47"/>
        <v>130500</v>
      </c>
      <c r="M272" s="50"/>
      <c r="N272" s="7"/>
      <c r="O272" s="51">
        <f t="shared" si="48"/>
        <v>130500</v>
      </c>
      <c r="P272" s="129"/>
      <c r="Q272" s="127">
        <f>O272+P272</f>
        <v>130500</v>
      </c>
    </row>
    <row r="273" spans="1:17" ht="12.75">
      <c r="A273" s="74" t="s">
        <v>222</v>
      </c>
      <c r="B273" s="165"/>
      <c r="C273" s="184">
        <v>30000</v>
      </c>
      <c r="D273" s="182"/>
      <c r="E273" s="182"/>
      <c r="F273" s="183">
        <f t="shared" si="45"/>
        <v>30000</v>
      </c>
      <c r="G273" s="228"/>
      <c r="H273" s="7"/>
      <c r="I273" s="51"/>
      <c r="J273" s="50"/>
      <c r="K273" s="7"/>
      <c r="L273" s="51"/>
      <c r="M273" s="50"/>
      <c r="N273" s="7"/>
      <c r="O273" s="51"/>
      <c r="P273" s="129"/>
      <c r="Q273" s="127"/>
    </row>
    <row r="274" spans="1:17" ht="12.75">
      <c r="A274" s="74" t="s">
        <v>64</v>
      </c>
      <c r="B274" s="165"/>
      <c r="C274" s="200">
        <v>21305.7</v>
      </c>
      <c r="D274" s="182">
        <f>2495+217</f>
        <v>2712</v>
      </c>
      <c r="E274" s="182"/>
      <c r="F274" s="183">
        <f t="shared" si="45"/>
        <v>24017.7</v>
      </c>
      <c r="G274" s="228"/>
      <c r="H274" s="7"/>
      <c r="I274" s="51">
        <f t="shared" si="46"/>
        <v>24017.7</v>
      </c>
      <c r="J274" s="50"/>
      <c r="K274" s="7"/>
      <c r="L274" s="51">
        <f t="shared" si="47"/>
        <v>24017.7</v>
      </c>
      <c r="M274" s="50"/>
      <c r="N274" s="7"/>
      <c r="O274" s="51">
        <f t="shared" si="48"/>
        <v>24017.7</v>
      </c>
      <c r="P274" s="129"/>
      <c r="Q274" s="127">
        <f aca="true" t="shared" si="49" ref="Q274:Q279">O274+P274</f>
        <v>24017.7</v>
      </c>
    </row>
    <row r="275" spans="1:17" ht="12.75" hidden="1">
      <c r="A275" s="74" t="s">
        <v>95</v>
      </c>
      <c r="B275" s="165"/>
      <c r="C275" s="200"/>
      <c r="D275" s="182"/>
      <c r="E275" s="182"/>
      <c r="F275" s="183">
        <f t="shared" si="45"/>
        <v>0</v>
      </c>
      <c r="G275" s="228"/>
      <c r="H275" s="7"/>
      <c r="I275" s="51">
        <f t="shared" si="46"/>
        <v>0</v>
      </c>
      <c r="J275" s="50"/>
      <c r="K275" s="7"/>
      <c r="L275" s="51">
        <f t="shared" si="47"/>
        <v>0</v>
      </c>
      <c r="M275" s="50"/>
      <c r="N275" s="7"/>
      <c r="O275" s="51">
        <f t="shared" si="48"/>
        <v>0</v>
      </c>
      <c r="P275" s="129"/>
      <c r="Q275" s="127">
        <f t="shared" si="49"/>
        <v>0</v>
      </c>
    </row>
    <row r="276" spans="1:17" ht="12.75" hidden="1">
      <c r="A276" s="74" t="s">
        <v>166</v>
      </c>
      <c r="B276" s="165"/>
      <c r="C276" s="200"/>
      <c r="D276" s="182"/>
      <c r="E276" s="182"/>
      <c r="F276" s="183">
        <f t="shared" si="45"/>
        <v>0</v>
      </c>
      <c r="G276" s="228"/>
      <c r="H276" s="7"/>
      <c r="I276" s="51">
        <f t="shared" si="46"/>
        <v>0</v>
      </c>
      <c r="J276" s="50"/>
      <c r="K276" s="7"/>
      <c r="L276" s="51">
        <f t="shared" si="47"/>
        <v>0</v>
      </c>
      <c r="M276" s="50"/>
      <c r="N276" s="7"/>
      <c r="O276" s="51">
        <f t="shared" si="48"/>
        <v>0</v>
      </c>
      <c r="P276" s="129"/>
      <c r="Q276" s="127">
        <f t="shared" si="49"/>
        <v>0</v>
      </c>
    </row>
    <row r="277" spans="1:17" ht="12.75">
      <c r="A277" s="74" t="s">
        <v>112</v>
      </c>
      <c r="B277" s="165">
        <v>98335</v>
      </c>
      <c r="C277" s="184"/>
      <c r="D277" s="182">
        <f>176.59</f>
        <v>176.59</v>
      </c>
      <c r="E277" s="182"/>
      <c r="F277" s="183">
        <f t="shared" si="45"/>
        <v>176.59</v>
      </c>
      <c r="G277" s="228"/>
      <c r="H277" s="7"/>
      <c r="I277" s="51">
        <f t="shared" si="46"/>
        <v>176.59</v>
      </c>
      <c r="J277" s="50"/>
      <c r="K277" s="7"/>
      <c r="L277" s="51">
        <f t="shared" si="47"/>
        <v>176.59</v>
      </c>
      <c r="M277" s="66"/>
      <c r="N277" s="7"/>
      <c r="O277" s="51">
        <f t="shared" si="48"/>
        <v>176.59</v>
      </c>
      <c r="P277" s="129"/>
      <c r="Q277" s="127">
        <f t="shared" si="49"/>
        <v>176.59</v>
      </c>
    </row>
    <row r="278" spans="1:17" ht="12.75" hidden="1">
      <c r="A278" s="74" t="s">
        <v>113</v>
      </c>
      <c r="B278" s="165"/>
      <c r="C278" s="184"/>
      <c r="D278" s="182"/>
      <c r="E278" s="182"/>
      <c r="F278" s="183">
        <f t="shared" si="45"/>
        <v>0</v>
      </c>
      <c r="G278" s="228"/>
      <c r="H278" s="7"/>
      <c r="I278" s="51">
        <f t="shared" si="46"/>
        <v>0</v>
      </c>
      <c r="J278" s="50"/>
      <c r="K278" s="7"/>
      <c r="L278" s="51">
        <f t="shared" si="47"/>
        <v>0</v>
      </c>
      <c r="M278" s="50"/>
      <c r="N278" s="7"/>
      <c r="O278" s="51">
        <f t="shared" si="48"/>
        <v>0</v>
      </c>
      <c r="P278" s="129"/>
      <c r="Q278" s="127">
        <f t="shared" si="49"/>
        <v>0</v>
      </c>
    </row>
    <row r="279" spans="1:17" ht="12.75">
      <c r="A279" s="74" t="s">
        <v>114</v>
      </c>
      <c r="B279" s="165">
        <v>98297</v>
      </c>
      <c r="C279" s="184"/>
      <c r="D279" s="182">
        <f>186.8</f>
        <v>186.8</v>
      </c>
      <c r="E279" s="182"/>
      <c r="F279" s="183">
        <f t="shared" si="45"/>
        <v>186.8</v>
      </c>
      <c r="G279" s="228"/>
      <c r="H279" s="7"/>
      <c r="I279" s="51">
        <f t="shared" si="46"/>
        <v>186.8</v>
      </c>
      <c r="J279" s="50"/>
      <c r="K279" s="7"/>
      <c r="L279" s="51">
        <f t="shared" si="47"/>
        <v>186.8</v>
      </c>
      <c r="M279" s="50"/>
      <c r="N279" s="7"/>
      <c r="O279" s="51">
        <f t="shared" si="48"/>
        <v>186.8</v>
      </c>
      <c r="P279" s="129"/>
      <c r="Q279" s="127">
        <f t="shared" si="49"/>
        <v>186.8</v>
      </c>
    </row>
    <row r="280" spans="1:17" ht="12.75">
      <c r="A280" s="76" t="s">
        <v>67</v>
      </c>
      <c r="B280" s="169"/>
      <c r="C280" s="191">
        <f>SUM(C282:C286)</f>
        <v>0</v>
      </c>
      <c r="D280" s="192">
        <f>SUM(D282:D286)</f>
        <v>46000</v>
      </c>
      <c r="E280" s="192">
        <f>SUM(E282:E286)</f>
        <v>0</v>
      </c>
      <c r="F280" s="193">
        <f>SUM(F282:F286)</f>
        <v>46000</v>
      </c>
      <c r="G280" s="231"/>
      <c r="H280" s="12"/>
      <c r="I280" s="59">
        <f>SUM(I282:I286)</f>
        <v>0</v>
      </c>
      <c r="J280" s="58"/>
      <c r="K280" s="12"/>
      <c r="L280" s="59">
        <f>SUM(L282:L286)</f>
        <v>0</v>
      </c>
      <c r="M280" s="58"/>
      <c r="N280" s="12"/>
      <c r="O280" s="59">
        <f>SUM(O282:O286)</f>
        <v>0</v>
      </c>
      <c r="P280" s="134"/>
      <c r="Q280" s="108">
        <f>SUM(Q282:Q286)</f>
        <v>0</v>
      </c>
    </row>
    <row r="281" spans="1:17" ht="12.75">
      <c r="A281" s="72" t="s">
        <v>33</v>
      </c>
      <c r="B281" s="165"/>
      <c r="C281" s="184"/>
      <c r="D281" s="182"/>
      <c r="E281" s="182"/>
      <c r="F281" s="183"/>
      <c r="G281" s="228"/>
      <c r="H281" s="7"/>
      <c r="I281" s="51"/>
      <c r="J281" s="50"/>
      <c r="K281" s="7"/>
      <c r="L281" s="51"/>
      <c r="M281" s="50"/>
      <c r="N281" s="7"/>
      <c r="O281" s="51"/>
      <c r="P281" s="129"/>
      <c r="Q281" s="127"/>
    </row>
    <row r="282" spans="1:17" ht="12.75" hidden="1">
      <c r="A282" s="74" t="s">
        <v>68</v>
      </c>
      <c r="B282" s="165"/>
      <c r="C282" s="184"/>
      <c r="D282" s="182"/>
      <c r="E282" s="182"/>
      <c r="F282" s="183">
        <f>C282+D282+E282</f>
        <v>0</v>
      </c>
      <c r="G282" s="228"/>
      <c r="H282" s="7"/>
      <c r="I282" s="51"/>
      <c r="J282" s="50"/>
      <c r="K282" s="7"/>
      <c r="L282" s="51"/>
      <c r="M282" s="50"/>
      <c r="N282" s="7"/>
      <c r="O282" s="51"/>
      <c r="P282" s="129"/>
      <c r="Q282" s="127"/>
    </row>
    <row r="283" spans="1:17" ht="12.75">
      <c r="A283" s="81" t="s">
        <v>338</v>
      </c>
      <c r="B283" s="168"/>
      <c r="C283" s="194"/>
      <c r="D283" s="195">
        <f>46000</f>
        <v>46000</v>
      </c>
      <c r="E283" s="195"/>
      <c r="F283" s="246">
        <f>C283+D283+E283</f>
        <v>46000</v>
      </c>
      <c r="G283" s="228"/>
      <c r="H283" s="7"/>
      <c r="I283" s="51"/>
      <c r="J283" s="50"/>
      <c r="K283" s="7"/>
      <c r="L283" s="51"/>
      <c r="M283" s="50"/>
      <c r="N283" s="7"/>
      <c r="O283" s="51"/>
      <c r="P283" s="129"/>
      <c r="Q283" s="127"/>
    </row>
    <row r="284" spans="1:17" ht="12.75" hidden="1">
      <c r="A284" s="74" t="s">
        <v>83</v>
      </c>
      <c r="B284" s="165"/>
      <c r="C284" s="184"/>
      <c r="D284" s="182"/>
      <c r="E284" s="182"/>
      <c r="F284" s="183">
        <f>C284+D284+E284</f>
        <v>0</v>
      </c>
      <c r="G284" s="228"/>
      <c r="H284" s="7"/>
      <c r="I284" s="51">
        <f>F284+G284+H284</f>
        <v>0</v>
      </c>
      <c r="J284" s="50"/>
      <c r="K284" s="7"/>
      <c r="L284" s="51">
        <f>I284+J284+K284</f>
        <v>0</v>
      </c>
      <c r="M284" s="50"/>
      <c r="N284" s="7"/>
      <c r="O284" s="51">
        <f>L284+M284+N284</f>
        <v>0</v>
      </c>
      <c r="P284" s="129"/>
      <c r="Q284" s="127">
        <f>O284+P284</f>
        <v>0</v>
      </c>
    </row>
    <row r="285" spans="1:17" ht="12.75" hidden="1">
      <c r="A285" s="81" t="s">
        <v>287</v>
      </c>
      <c r="B285" s="168"/>
      <c r="C285" s="194"/>
      <c r="D285" s="195"/>
      <c r="E285" s="195"/>
      <c r="F285" s="246">
        <f>C285+D285+E285</f>
        <v>0</v>
      </c>
      <c r="G285" s="16"/>
      <c r="H285" s="16"/>
      <c r="I285" s="55">
        <f>F285+G285+H285</f>
        <v>0</v>
      </c>
      <c r="J285" s="54"/>
      <c r="K285" s="16"/>
      <c r="L285" s="55">
        <f>I285+J285+K285</f>
        <v>0</v>
      </c>
      <c r="M285" s="54"/>
      <c r="N285" s="10"/>
      <c r="O285" s="55">
        <f>L285+M285+N285</f>
        <v>0</v>
      </c>
      <c r="P285" s="142"/>
      <c r="Q285" s="143">
        <f>O285+P285</f>
        <v>0</v>
      </c>
    </row>
    <row r="286" spans="1:17" ht="12.75" hidden="1">
      <c r="A286" s="73" t="s">
        <v>95</v>
      </c>
      <c r="B286" s="168"/>
      <c r="C286" s="194"/>
      <c r="D286" s="195"/>
      <c r="E286" s="195"/>
      <c r="F286" s="246">
        <f>C286+D286+E286</f>
        <v>0</v>
      </c>
      <c r="G286" s="16"/>
      <c r="H286" s="16"/>
      <c r="I286" s="55">
        <f>F286+G286+H286</f>
        <v>0</v>
      </c>
      <c r="J286" s="54"/>
      <c r="K286" s="16"/>
      <c r="L286" s="55">
        <f>I286+J286+K286</f>
        <v>0</v>
      </c>
      <c r="M286" s="54"/>
      <c r="N286" s="10"/>
      <c r="O286" s="55">
        <f>L286+M286+N286</f>
        <v>0</v>
      </c>
      <c r="P286" s="142"/>
      <c r="Q286" s="143">
        <f>O286+P286</f>
        <v>0</v>
      </c>
    </row>
    <row r="287" spans="1:17" ht="12.75">
      <c r="A287" s="82" t="s">
        <v>115</v>
      </c>
      <c r="B287" s="170"/>
      <c r="C287" s="185">
        <f>C288+C297</f>
        <v>159458.4</v>
      </c>
      <c r="D287" s="186">
        <f>D288+D297</f>
        <v>12297.6</v>
      </c>
      <c r="E287" s="186">
        <f>E288+E297</f>
        <v>0</v>
      </c>
      <c r="F287" s="187">
        <f>F288+F297</f>
        <v>171756</v>
      </c>
      <c r="G287" s="17"/>
      <c r="H287" s="17"/>
      <c r="I287" s="53">
        <f>I288+I297</f>
        <v>171756</v>
      </c>
      <c r="J287" s="52"/>
      <c r="K287" s="17"/>
      <c r="L287" s="63">
        <f>L288+L297</f>
        <v>171756</v>
      </c>
      <c r="M287" s="52"/>
      <c r="N287" s="8"/>
      <c r="O287" s="53">
        <f>O288+O297</f>
        <v>171756</v>
      </c>
      <c r="P287" s="132"/>
      <c r="Q287" s="63">
        <f>Q288+Q297</f>
        <v>171756</v>
      </c>
    </row>
    <row r="288" spans="1:17" ht="12.75">
      <c r="A288" s="76" t="s">
        <v>62</v>
      </c>
      <c r="B288" s="169"/>
      <c r="C288" s="191">
        <f>SUM(C290:C296)</f>
        <v>159458.4</v>
      </c>
      <c r="D288" s="192">
        <f>SUM(D290:D296)</f>
        <v>12297.6</v>
      </c>
      <c r="E288" s="192">
        <f>SUM(E290:E296)</f>
        <v>0</v>
      </c>
      <c r="F288" s="193">
        <f>SUM(F290:F296)</f>
        <v>171756</v>
      </c>
      <c r="G288" s="231"/>
      <c r="H288" s="12"/>
      <c r="I288" s="59">
        <f>SUM(I290:I296)</f>
        <v>171756</v>
      </c>
      <c r="J288" s="58"/>
      <c r="K288" s="12"/>
      <c r="L288" s="59">
        <f>SUM(L290:L296)</f>
        <v>171756</v>
      </c>
      <c r="M288" s="58"/>
      <c r="N288" s="12"/>
      <c r="O288" s="59">
        <f>SUM(O290:O296)</f>
        <v>171756</v>
      </c>
      <c r="P288" s="134"/>
      <c r="Q288" s="108">
        <f>SUM(Q290:Q296)</f>
        <v>171756</v>
      </c>
    </row>
    <row r="289" spans="1:17" ht="12.75">
      <c r="A289" s="72" t="s">
        <v>33</v>
      </c>
      <c r="B289" s="165"/>
      <c r="C289" s="184"/>
      <c r="D289" s="182"/>
      <c r="E289" s="182"/>
      <c r="F289" s="183"/>
      <c r="G289" s="228"/>
      <c r="H289" s="7"/>
      <c r="I289" s="51"/>
      <c r="J289" s="50"/>
      <c r="K289" s="7"/>
      <c r="L289" s="51"/>
      <c r="M289" s="50"/>
      <c r="N289" s="7"/>
      <c r="O289" s="51"/>
      <c r="P289" s="129"/>
      <c r="Q289" s="127"/>
    </row>
    <row r="290" spans="1:17" ht="12.75">
      <c r="A290" s="74" t="s">
        <v>91</v>
      </c>
      <c r="B290" s="165"/>
      <c r="C290" s="184">
        <v>137599.9</v>
      </c>
      <c r="D290" s="182">
        <f>12811+100+206-1082.4+300</f>
        <v>12334.6</v>
      </c>
      <c r="E290" s="182"/>
      <c r="F290" s="183">
        <f aca="true" t="shared" si="50" ref="F290:F296">C290+D290+E290</f>
        <v>149934.5</v>
      </c>
      <c r="G290" s="228"/>
      <c r="H290" s="7"/>
      <c r="I290" s="51">
        <f>F290+G290+H290</f>
        <v>149934.5</v>
      </c>
      <c r="J290" s="50"/>
      <c r="K290" s="7"/>
      <c r="L290" s="51">
        <f>I290+J290+K290</f>
        <v>149934.5</v>
      </c>
      <c r="M290" s="50"/>
      <c r="N290" s="7"/>
      <c r="O290" s="51">
        <f>L290+M290+N290</f>
        <v>149934.5</v>
      </c>
      <c r="P290" s="129"/>
      <c r="Q290" s="127">
        <f aca="true" t="shared" si="51" ref="Q290:Q296">O290+P290</f>
        <v>149934.5</v>
      </c>
    </row>
    <row r="291" spans="1:17" ht="12.75">
      <c r="A291" s="74" t="s">
        <v>64</v>
      </c>
      <c r="B291" s="165"/>
      <c r="C291" s="184">
        <v>18564.5</v>
      </c>
      <c r="D291" s="182">
        <f>-4714+185-100+178-300</f>
        <v>-4751</v>
      </c>
      <c r="E291" s="182">
        <v>-900</v>
      </c>
      <c r="F291" s="183">
        <f t="shared" si="50"/>
        <v>12913.5</v>
      </c>
      <c r="G291" s="228"/>
      <c r="H291" s="7"/>
      <c r="I291" s="51">
        <f aca="true" t="shared" si="52" ref="I291:I296">F291+G291+H291</f>
        <v>12913.5</v>
      </c>
      <c r="J291" s="50"/>
      <c r="K291" s="7"/>
      <c r="L291" s="51">
        <f aca="true" t="shared" si="53" ref="L291:L296">I291+J291+K291</f>
        <v>12913.5</v>
      </c>
      <c r="M291" s="50"/>
      <c r="N291" s="7"/>
      <c r="O291" s="51">
        <f aca="true" t="shared" si="54" ref="O291:O296">L291+M291+N291</f>
        <v>12913.5</v>
      </c>
      <c r="P291" s="129"/>
      <c r="Q291" s="127">
        <f t="shared" si="51"/>
        <v>12913.5</v>
      </c>
    </row>
    <row r="292" spans="1:17" ht="12.75">
      <c r="A292" s="74" t="s">
        <v>158</v>
      </c>
      <c r="B292" s="165"/>
      <c r="C292" s="184">
        <v>3294</v>
      </c>
      <c r="D292" s="182"/>
      <c r="E292" s="182"/>
      <c r="F292" s="183">
        <f t="shared" si="50"/>
        <v>3294</v>
      </c>
      <c r="G292" s="228"/>
      <c r="H292" s="7"/>
      <c r="I292" s="51">
        <f t="shared" si="52"/>
        <v>3294</v>
      </c>
      <c r="J292" s="50"/>
      <c r="K292" s="7"/>
      <c r="L292" s="51">
        <f t="shared" si="53"/>
        <v>3294</v>
      </c>
      <c r="M292" s="50"/>
      <c r="N292" s="7"/>
      <c r="O292" s="51">
        <f t="shared" si="54"/>
        <v>3294</v>
      </c>
      <c r="P292" s="129"/>
      <c r="Q292" s="127">
        <f t="shared" si="51"/>
        <v>3294</v>
      </c>
    </row>
    <row r="293" spans="1:17" ht="12.75">
      <c r="A293" s="81" t="s">
        <v>79</v>
      </c>
      <c r="B293" s="168"/>
      <c r="C293" s="194"/>
      <c r="D293" s="195">
        <f>4714</f>
        <v>4714</v>
      </c>
      <c r="E293" s="195">
        <v>900</v>
      </c>
      <c r="F293" s="246">
        <f t="shared" si="50"/>
        <v>5614</v>
      </c>
      <c r="G293" s="228"/>
      <c r="H293" s="7"/>
      <c r="I293" s="51">
        <f t="shared" si="52"/>
        <v>5614</v>
      </c>
      <c r="J293" s="50"/>
      <c r="K293" s="7"/>
      <c r="L293" s="51">
        <f t="shared" si="53"/>
        <v>5614</v>
      </c>
      <c r="M293" s="50"/>
      <c r="N293" s="7"/>
      <c r="O293" s="51">
        <f t="shared" si="54"/>
        <v>5614</v>
      </c>
      <c r="P293" s="129"/>
      <c r="Q293" s="127">
        <f t="shared" si="51"/>
        <v>5614</v>
      </c>
    </row>
    <row r="294" spans="1:17" ht="12.75" hidden="1">
      <c r="A294" s="74" t="s">
        <v>116</v>
      </c>
      <c r="B294" s="165">
        <v>34070</v>
      </c>
      <c r="C294" s="184"/>
      <c r="D294" s="182"/>
      <c r="E294" s="182"/>
      <c r="F294" s="183">
        <f t="shared" si="50"/>
        <v>0</v>
      </c>
      <c r="G294" s="228"/>
      <c r="H294" s="7"/>
      <c r="I294" s="51">
        <f t="shared" si="52"/>
        <v>0</v>
      </c>
      <c r="J294" s="50"/>
      <c r="K294" s="7"/>
      <c r="L294" s="51">
        <f t="shared" si="53"/>
        <v>0</v>
      </c>
      <c r="M294" s="50"/>
      <c r="N294" s="7"/>
      <c r="O294" s="51">
        <f t="shared" si="54"/>
        <v>0</v>
      </c>
      <c r="P294" s="129"/>
      <c r="Q294" s="127">
        <f t="shared" si="51"/>
        <v>0</v>
      </c>
    </row>
    <row r="295" spans="1:17" ht="12.75" hidden="1">
      <c r="A295" s="74" t="s">
        <v>117</v>
      </c>
      <c r="B295" s="165">
        <v>34053</v>
      </c>
      <c r="C295" s="184"/>
      <c r="D295" s="182"/>
      <c r="E295" s="195"/>
      <c r="F295" s="183">
        <f t="shared" si="50"/>
        <v>0</v>
      </c>
      <c r="G295" s="228"/>
      <c r="H295" s="7"/>
      <c r="I295" s="51">
        <f t="shared" si="52"/>
        <v>0</v>
      </c>
      <c r="J295" s="50"/>
      <c r="K295" s="7"/>
      <c r="L295" s="51">
        <f t="shared" si="53"/>
        <v>0</v>
      </c>
      <c r="M295" s="50"/>
      <c r="N295" s="7"/>
      <c r="O295" s="51">
        <f t="shared" si="54"/>
        <v>0</v>
      </c>
      <c r="P295" s="129"/>
      <c r="Q295" s="127">
        <f t="shared" si="51"/>
        <v>0</v>
      </c>
    </row>
    <row r="296" spans="1:17" ht="12.75" hidden="1">
      <c r="A296" s="74" t="s">
        <v>95</v>
      </c>
      <c r="B296" s="165"/>
      <c r="C296" s="184"/>
      <c r="D296" s="182"/>
      <c r="E296" s="182"/>
      <c r="F296" s="183">
        <f t="shared" si="50"/>
        <v>0</v>
      </c>
      <c r="G296" s="228"/>
      <c r="H296" s="7"/>
      <c r="I296" s="51">
        <f t="shared" si="52"/>
        <v>0</v>
      </c>
      <c r="J296" s="50"/>
      <c r="K296" s="7"/>
      <c r="L296" s="51">
        <f t="shared" si="53"/>
        <v>0</v>
      </c>
      <c r="M296" s="50"/>
      <c r="N296" s="7"/>
      <c r="O296" s="51">
        <f t="shared" si="54"/>
        <v>0</v>
      </c>
      <c r="P296" s="129"/>
      <c r="Q296" s="127">
        <f t="shared" si="51"/>
        <v>0</v>
      </c>
    </row>
    <row r="297" spans="1:17" ht="12.75" hidden="1">
      <c r="A297" s="76" t="s">
        <v>67</v>
      </c>
      <c r="B297" s="169"/>
      <c r="C297" s="191">
        <f>SUM(C299:C302)</f>
        <v>0</v>
      </c>
      <c r="D297" s="192">
        <f>SUM(D299:D302)</f>
        <v>0</v>
      </c>
      <c r="E297" s="192"/>
      <c r="F297" s="193">
        <f>SUM(F299:F302)</f>
        <v>0</v>
      </c>
      <c r="G297" s="231"/>
      <c r="H297" s="12"/>
      <c r="I297" s="59">
        <f>SUM(I299:I302)</f>
        <v>0</v>
      </c>
      <c r="J297" s="58"/>
      <c r="K297" s="12"/>
      <c r="L297" s="59">
        <f>SUM(L299:L302)</f>
        <v>0</v>
      </c>
      <c r="M297" s="58"/>
      <c r="N297" s="12"/>
      <c r="O297" s="59">
        <f>SUM(O299:O302)</f>
        <v>0</v>
      </c>
      <c r="P297" s="134"/>
      <c r="Q297" s="108">
        <f>SUM(Q299:Q302)</f>
        <v>0</v>
      </c>
    </row>
    <row r="298" spans="1:17" ht="12.75" hidden="1">
      <c r="A298" s="72" t="s">
        <v>33</v>
      </c>
      <c r="B298" s="165"/>
      <c r="C298" s="184"/>
      <c r="D298" s="182"/>
      <c r="E298" s="182"/>
      <c r="F298" s="183"/>
      <c r="G298" s="228"/>
      <c r="H298" s="7"/>
      <c r="I298" s="51"/>
      <c r="J298" s="50"/>
      <c r="K298" s="7"/>
      <c r="L298" s="51"/>
      <c r="M298" s="50"/>
      <c r="N298" s="7"/>
      <c r="O298" s="51"/>
      <c r="P298" s="129"/>
      <c r="Q298" s="127"/>
    </row>
    <row r="299" spans="1:17" ht="12.75" hidden="1">
      <c r="A299" s="74" t="s">
        <v>117</v>
      </c>
      <c r="B299" s="165">
        <v>34544</v>
      </c>
      <c r="C299" s="184"/>
      <c r="D299" s="182"/>
      <c r="E299" s="182"/>
      <c r="F299" s="183">
        <f>C299+D299+E299</f>
        <v>0</v>
      </c>
      <c r="G299" s="228"/>
      <c r="H299" s="7"/>
      <c r="I299" s="51"/>
      <c r="J299" s="50"/>
      <c r="K299" s="7"/>
      <c r="L299" s="51">
        <f>I299+J299+K299</f>
        <v>0</v>
      </c>
      <c r="M299" s="50"/>
      <c r="N299" s="7"/>
      <c r="O299" s="51">
        <f>L299+M299+N299</f>
        <v>0</v>
      </c>
      <c r="P299" s="129"/>
      <c r="Q299" s="127">
        <f>O299+P299</f>
        <v>0</v>
      </c>
    </row>
    <row r="300" spans="1:17" ht="12.75" hidden="1">
      <c r="A300" s="114" t="s">
        <v>83</v>
      </c>
      <c r="B300" s="165"/>
      <c r="C300" s="184"/>
      <c r="D300" s="182"/>
      <c r="E300" s="182"/>
      <c r="F300" s="183">
        <f>C300+D300+E300</f>
        <v>0</v>
      </c>
      <c r="G300" s="228"/>
      <c r="H300" s="7"/>
      <c r="I300" s="51">
        <f>F300+G300+H300</f>
        <v>0</v>
      </c>
      <c r="J300" s="50"/>
      <c r="K300" s="7"/>
      <c r="L300" s="51">
        <f>I300+J300+K300</f>
        <v>0</v>
      </c>
      <c r="M300" s="50"/>
      <c r="N300" s="7"/>
      <c r="O300" s="51">
        <f>L300+M300+N300</f>
        <v>0</v>
      </c>
      <c r="P300" s="129"/>
      <c r="Q300" s="127">
        <f>O300+P300</f>
        <v>0</v>
      </c>
    </row>
    <row r="301" spans="1:17" ht="12.75" hidden="1">
      <c r="A301" s="114" t="s">
        <v>68</v>
      </c>
      <c r="B301" s="165"/>
      <c r="C301" s="184"/>
      <c r="D301" s="182"/>
      <c r="E301" s="182"/>
      <c r="F301" s="183">
        <f>C301+D301+E301</f>
        <v>0</v>
      </c>
      <c r="G301" s="228"/>
      <c r="H301" s="7"/>
      <c r="I301" s="51"/>
      <c r="J301" s="50"/>
      <c r="K301" s="7"/>
      <c r="L301" s="51">
        <f>I301+J301+K301</f>
        <v>0</v>
      </c>
      <c r="M301" s="50"/>
      <c r="N301" s="7"/>
      <c r="O301" s="51">
        <f>L301+M301+N301</f>
        <v>0</v>
      </c>
      <c r="P301" s="129"/>
      <c r="Q301" s="127">
        <f>O301+P301</f>
        <v>0</v>
      </c>
    </row>
    <row r="302" spans="1:17" ht="13.5" hidden="1" thickBot="1">
      <c r="A302" s="253" t="s">
        <v>95</v>
      </c>
      <c r="B302" s="249"/>
      <c r="C302" s="250"/>
      <c r="D302" s="251"/>
      <c r="E302" s="251"/>
      <c r="F302" s="252">
        <f>C302+D302+E302</f>
        <v>0</v>
      </c>
      <c r="G302" s="16"/>
      <c r="H302" s="10"/>
      <c r="I302" s="55">
        <f>F302+G302+H302</f>
        <v>0</v>
      </c>
      <c r="J302" s="54"/>
      <c r="K302" s="10"/>
      <c r="L302" s="55">
        <f>I302+J302+K302</f>
        <v>0</v>
      </c>
      <c r="M302" s="122"/>
      <c r="N302" s="10"/>
      <c r="O302" s="55">
        <f>L302+M302+N302</f>
        <v>0</v>
      </c>
      <c r="P302" s="142"/>
      <c r="Q302" s="143">
        <f>O302+P302</f>
        <v>0</v>
      </c>
    </row>
    <row r="303" spans="1:17" ht="12.75">
      <c r="A303" s="82" t="s">
        <v>212</v>
      </c>
      <c r="B303" s="170"/>
      <c r="C303" s="179">
        <f>C304+C328</f>
        <v>389067</v>
      </c>
      <c r="D303" s="180">
        <f>D304+D328</f>
        <v>1009118.1599999999</v>
      </c>
      <c r="E303" s="180">
        <f>E304+E328</f>
        <v>0</v>
      </c>
      <c r="F303" s="181">
        <f>F304+F328</f>
        <v>1398185.1600000001</v>
      </c>
      <c r="G303" s="228"/>
      <c r="H303" s="7"/>
      <c r="I303" s="51"/>
      <c r="J303" s="50"/>
      <c r="K303" s="7"/>
      <c r="L303" s="51"/>
      <c r="M303" s="65"/>
      <c r="N303" s="7"/>
      <c r="O303" s="51"/>
      <c r="P303" s="129"/>
      <c r="Q303" s="127"/>
    </row>
    <row r="304" spans="1:17" ht="12.75">
      <c r="A304" s="76" t="s">
        <v>62</v>
      </c>
      <c r="B304" s="169"/>
      <c r="C304" s="191">
        <f>SUM(C306:C316)</f>
        <v>58906</v>
      </c>
      <c r="D304" s="192">
        <f>SUM(D306:D316)</f>
        <v>80514.7</v>
      </c>
      <c r="E304" s="192">
        <f>SUM(E306:E316)</f>
        <v>0</v>
      </c>
      <c r="F304" s="193">
        <f>SUM(F306:F316)</f>
        <v>139420.7</v>
      </c>
      <c r="G304" s="228"/>
      <c r="H304" s="7"/>
      <c r="I304" s="51"/>
      <c r="J304" s="50"/>
      <c r="K304" s="7"/>
      <c r="L304" s="51"/>
      <c r="M304" s="65"/>
      <c r="N304" s="7"/>
      <c r="O304" s="51"/>
      <c r="P304" s="129"/>
      <c r="Q304" s="127"/>
    </row>
    <row r="305" spans="1:17" ht="12.75">
      <c r="A305" s="72" t="s">
        <v>33</v>
      </c>
      <c r="B305" s="165"/>
      <c r="C305" s="191"/>
      <c r="D305" s="222"/>
      <c r="E305" s="222"/>
      <c r="F305" s="193"/>
      <c r="G305" s="228"/>
      <c r="H305" s="7"/>
      <c r="I305" s="51"/>
      <c r="J305" s="50"/>
      <c r="K305" s="7"/>
      <c r="L305" s="51"/>
      <c r="M305" s="65"/>
      <c r="N305" s="7"/>
      <c r="O305" s="51"/>
      <c r="P305" s="129"/>
      <c r="Q305" s="127"/>
    </row>
    <row r="306" spans="1:17" ht="12.75">
      <c r="A306" s="74" t="s">
        <v>64</v>
      </c>
      <c r="B306" s="165"/>
      <c r="C306" s="184">
        <v>1582</v>
      </c>
      <c r="D306" s="199"/>
      <c r="E306" s="199"/>
      <c r="F306" s="183">
        <f aca="true" t="shared" si="55" ref="F306:F327">C306+D306+E306</f>
        <v>1582</v>
      </c>
      <c r="G306" s="228"/>
      <c r="H306" s="7"/>
      <c r="I306" s="51"/>
      <c r="J306" s="50"/>
      <c r="K306" s="7"/>
      <c r="L306" s="51"/>
      <c r="M306" s="65"/>
      <c r="N306" s="7"/>
      <c r="O306" s="51"/>
      <c r="P306" s="129"/>
      <c r="Q306" s="127"/>
    </row>
    <row r="307" spans="1:17" ht="12.75">
      <c r="A307" s="74" t="s">
        <v>223</v>
      </c>
      <c r="B307" s="165"/>
      <c r="C307" s="184"/>
      <c r="D307" s="199">
        <f>2721.15</f>
        <v>2721.15</v>
      </c>
      <c r="E307" s="199"/>
      <c r="F307" s="183">
        <f t="shared" si="55"/>
        <v>2721.15</v>
      </c>
      <c r="G307" s="228"/>
      <c r="H307" s="7"/>
      <c r="I307" s="51"/>
      <c r="J307" s="50"/>
      <c r="K307" s="7"/>
      <c r="L307" s="51"/>
      <c r="M307" s="65"/>
      <c r="N307" s="7"/>
      <c r="O307" s="51"/>
      <c r="P307" s="129"/>
      <c r="Q307" s="127"/>
    </row>
    <row r="308" spans="1:17" ht="12.75">
      <c r="A308" s="74" t="s">
        <v>224</v>
      </c>
      <c r="B308" s="165"/>
      <c r="C308" s="184">
        <v>3090</v>
      </c>
      <c r="D308" s="199">
        <f>1114.3</f>
        <v>1114.3</v>
      </c>
      <c r="E308" s="199"/>
      <c r="F308" s="183">
        <f t="shared" si="55"/>
        <v>4204.3</v>
      </c>
      <c r="G308" s="228"/>
      <c r="H308" s="7"/>
      <c r="I308" s="51"/>
      <c r="J308" s="50"/>
      <c r="K308" s="7"/>
      <c r="L308" s="51"/>
      <c r="M308" s="65"/>
      <c r="N308" s="7"/>
      <c r="O308" s="51"/>
      <c r="P308" s="129"/>
      <c r="Q308" s="127"/>
    </row>
    <row r="309" spans="1:17" ht="12.75">
      <c r="A309" s="166" t="s">
        <v>98</v>
      </c>
      <c r="B309" s="165"/>
      <c r="C309" s="184">
        <v>600</v>
      </c>
      <c r="D309" s="199"/>
      <c r="E309" s="199"/>
      <c r="F309" s="183">
        <f t="shared" si="55"/>
        <v>600</v>
      </c>
      <c r="G309" s="228"/>
      <c r="H309" s="7"/>
      <c r="I309" s="51"/>
      <c r="J309" s="50"/>
      <c r="K309" s="7"/>
      <c r="L309" s="51"/>
      <c r="M309" s="65"/>
      <c r="N309" s="7"/>
      <c r="O309" s="51"/>
      <c r="P309" s="129"/>
      <c r="Q309" s="127"/>
    </row>
    <row r="310" spans="1:17" ht="12.75">
      <c r="A310" s="70" t="s">
        <v>236</v>
      </c>
      <c r="B310" s="165"/>
      <c r="C310" s="184">
        <v>6400</v>
      </c>
      <c r="D310" s="199"/>
      <c r="E310" s="199"/>
      <c r="F310" s="183">
        <f t="shared" si="55"/>
        <v>6400</v>
      </c>
      <c r="G310" s="228"/>
      <c r="H310" s="7"/>
      <c r="I310" s="51"/>
      <c r="J310" s="50"/>
      <c r="K310" s="7"/>
      <c r="L310" s="51"/>
      <c r="M310" s="65"/>
      <c r="N310" s="7"/>
      <c r="O310" s="51"/>
      <c r="P310" s="129"/>
      <c r="Q310" s="127"/>
    </row>
    <row r="311" spans="1:17" ht="12.75">
      <c r="A311" s="74" t="s">
        <v>237</v>
      </c>
      <c r="B311" s="165"/>
      <c r="C311" s="184">
        <v>3500</v>
      </c>
      <c r="D311" s="199"/>
      <c r="E311" s="199"/>
      <c r="F311" s="183">
        <f t="shared" si="55"/>
        <v>3500</v>
      </c>
      <c r="G311" s="228"/>
      <c r="H311" s="7"/>
      <c r="I311" s="51"/>
      <c r="J311" s="50"/>
      <c r="K311" s="7"/>
      <c r="L311" s="51"/>
      <c r="M311" s="65"/>
      <c r="N311" s="7"/>
      <c r="O311" s="51"/>
      <c r="P311" s="129"/>
      <c r="Q311" s="127"/>
    </row>
    <row r="312" spans="1:17" ht="12.75" hidden="1">
      <c r="A312" s="74" t="s">
        <v>316</v>
      </c>
      <c r="B312" s="165"/>
      <c r="C312" s="184"/>
      <c r="D312" s="199"/>
      <c r="E312" s="199"/>
      <c r="F312" s="183">
        <f t="shared" si="55"/>
        <v>0</v>
      </c>
      <c r="G312" s="228"/>
      <c r="H312" s="7"/>
      <c r="I312" s="51"/>
      <c r="J312" s="50"/>
      <c r="K312" s="7"/>
      <c r="L312" s="51"/>
      <c r="M312" s="65"/>
      <c r="N312" s="7"/>
      <c r="O312" s="51"/>
      <c r="P312" s="129"/>
      <c r="Q312" s="127"/>
    </row>
    <row r="313" spans="1:17" ht="12.75">
      <c r="A313" s="74" t="s">
        <v>322</v>
      </c>
      <c r="B313" s="165"/>
      <c r="C313" s="184"/>
      <c r="D313" s="199">
        <f>482.7</f>
        <v>482.7</v>
      </c>
      <c r="E313" s="199"/>
      <c r="F313" s="183">
        <f t="shared" si="55"/>
        <v>482.7</v>
      </c>
      <c r="G313" s="228"/>
      <c r="H313" s="7"/>
      <c r="I313" s="51"/>
      <c r="J313" s="50"/>
      <c r="K313" s="7"/>
      <c r="L313" s="51"/>
      <c r="M313" s="65"/>
      <c r="N313" s="7"/>
      <c r="O313" s="51"/>
      <c r="P313" s="129"/>
      <c r="Q313" s="127"/>
    </row>
    <row r="314" spans="1:17" ht="12.75">
      <c r="A314" s="70" t="s">
        <v>262</v>
      </c>
      <c r="B314" s="265">
        <v>212163</v>
      </c>
      <c r="C314" s="184"/>
      <c r="D314" s="199">
        <f>2165.82</f>
        <v>2165.82</v>
      </c>
      <c r="E314" s="199"/>
      <c r="F314" s="183">
        <f t="shared" si="55"/>
        <v>2165.82</v>
      </c>
      <c r="G314" s="228"/>
      <c r="H314" s="7"/>
      <c r="I314" s="51"/>
      <c r="J314" s="50"/>
      <c r="K314" s="7"/>
      <c r="L314" s="51"/>
      <c r="M314" s="65"/>
      <c r="N314" s="7"/>
      <c r="O314" s="51"/>
      <c r="P314" s="129"/>
      <c r="Q314" s="127"/>
    </row>
    <row r="315" spans="1:17" ht="12.75">
      <c r="A315" s="74" t="s">
        <v>216</v>
      </c>
      <c r="B315" s="265">
        <v>212162</v>
      </c>
      <c r="C315" s="184"/>
      <c r="D315" s="199">
        <f>658.97</f>
        <v>658.97</v>
      </c>
      <c r="E315" s="199"/>
      <c r="F315" s="183">
        <f t="shared" si="55"/>
        <v>658.97</v>
      </c>
      <c r="G315" s="228"/>
      <c r="H315" s="7"/>
      <c r="I315" s="51"/>
      <c r="J315" s="50"/>
      <c r="K315" s="7"/>
      <c r="L315" s="51"/>
      <c r="M315" s="65"/>
      <c r="N315" s="7"/>
      <c r="O315" s="51"/>
      <c r="P315" s="129"/>
      <c r="Q315" s="127"/>
    </row>
    <row r="316" spans="1:17" ht="12.75">
      <c r="A316" s="70" t="s">
        <v>95</v>
      </c>
      <c r="B316" s="165"/>
      <c r="C316" s="256">
        <f>SUM(C317:C327)</f>
        <v>43734</v>
      </c>
      <c r="D316" s="199">
        <f>SUM(D317:D327)</f>
        <v>73371.76</v>
      </c>
      <c r="E316" s="199">
        <f>SUM(E317:E327)</f>
        <v>0</v>
      </c>
      <c r="F316" s="183">
        <f>C316+D316+E316</f>
        <v>117105.76</v>
      </c>
      <c r="G316" s="228"/>
      <c r="H316" s="7"/>
      <c r="I316" s="51"/>
      <c r="J316" s="50"/>
      <c r="K316" s="7"/>
      <c r="L316" s="51"/>
      <c r="M316" s="65"/>
      <c r="N316" s="7"/>
      <c r="O316" s="51"/>
      <c r="P316" s="129"/>
      <c r="Q316" s="127"/>
    </row>
    <row r="317" spans="1:17" ht="12.75">
      <c r="A317" s="70" t="s">
        <v>297</v>
      </c>
      <c r="B317" s="165"/>
      <c r="C317" s="200">
        <v>35450</v>
      </c>
      <c r="D317" s="199">
        <f>12447.5+4465.69</f>
        <v>16913.19</v>
      </c>
      <c r="E317" s="182"/>
      <c r="F317" s="183">
        <f t="shared" si="55"/>
        <v>52363.19</v>
      </c>
      <c r="G317" s="228"/>
      <c r="H317" s="7"/>
      <c r="I317" s="51"/>
      <c r="J317" s="50"/>
      <c r="K317" s="7"/>
      <c r="L317" s="51"/>
      <c r="M317" s="65"/>
      <c r="N317" s="7"/>
      <c r="O317" s="51"/>
      <c r="P317" s="129"/>
      <c r="Q317" s="127"/>
    </row>
    <row r="318" spans="1:17" ht="12.75">
      <c r="A318" s="70" t="s">
        <v>235</v>
      </c>
      <c r="B318" s="165"/>
      <c r="C318" s="200"/>
      <c r="D318" s="199">
        <f>10502.38+7976.61</f>
        <v>18478.989999999998</v>
      </c>
      <c r="E318" s="182"/>
      <c r="F318" s="183">
        <f t="shared" si="55"/>
        <v>18478.989999999998</v>
      </c>
      <c r="G318" s="228"/>
      <c r="H318" s="7"/>
      <c r="I318" s="51"/>
      <c r="J318" s="50"/>
      <c r="K318" s="7"/>
      <c r="L318" s="51"/>
      <c r="M318" s="65"/>
      <c r="N318" s="7"/>
      <c r="O318" s="51"/>
      <c r="P318" s="129"/>
      <c r="Q318" s="127"/>
    </row>
    <row r="319" spans="1:17" ht="12.75" hidden="1">
      <c r="A319" s="70" t="s">
        <v>281</v>
      </c>
      <c r="B319" s="165"/>
      <c r="C319" s="200"/>
      <c r="D319" s="223"/>
      <c r="E319" s="182"/>
      <c r="F319" s="183">
        <f t="shared" si="55"/>
        <v>0</v>
      </c>
      <c r="G319" s="228"/>
      <c r="H319" s="7"/>
      <c r="I319" s="51"/>
      <c r="J319" s="50"/>
      <c r="K319" s="7"/>
      <c r="L319" s="51"/>
      <c r="M319" s="65"/>
      <c r="N319" s="7"/>
      <c r="O319" s="51"/>
      <c r="P319" s="129"/>
      <c r="Q319" s="127"/>
    </row>
    <row r="320" spans="1:17" ht="12.75" hidden="1">
      <c r="A320" s="70" t="s">
        <v>275</v>
      </c>
      <c r="B320" s="165"/>
      <c r="C320" s="200"/>
      <c r="D320" s="199"/>
      <c r="E320" s="182"/>
      <c r="F320" s="183">
        <f t="shared" si="55"/>
        <v>0</v>
      </c>
      <c r="G320" s="228"/>
      <c r="H320" s="7"/>
      <c r="I320" s="51"/>
      <c r="J320" s="50"/>
      <c r="K320" s="7"/>
      <c r="L320" s="51"/>
      <c r="M320" s="65"/>
      <c r="N320" s="7"/>
      <c r="O320" s="51"/>
      <c r="P320" s="129"/>
      <c r="Q320" s="127"/>
    </row>
    <row r="321" spans="1:17" ht="12.75">
      <c r="A321" s="70" t="s">
        <v>319</v>
      </c>
      <c r="B321" s="165"/>
      <c r="C321" s="200"/>
      <c r="D321" s="199">
        <f>40745.16</f>
        <v>40745.16</v>
      </c>
      <c r="E321" s="182"/>
      <c r="F321" s="183">
        <f t="shared" si="55"/>
        <v>40745.16</v>
      </c>
      <c r="G321" s="228"/>
      <c r="H321" s="7"/>
      <c r="I321" s="51"/>
      <c r="J321" s="50"/>
      <c r="K321" s="7"/>
      <c r="L321" s="51"/>
      <c r="M321" s="65"/>
      <c r="N321" s="7"/>
      <c r="O321" s="51"/>
      <c r="P321" s="129"/>
      <c r="Q321" s="127"/>
    </row>
    <row r="322" spans="1:17" ht="12.75">
      <c r="A322" s="70" t="s">
        <v>234</v>
      </c>
      <c r="B322" s="165"/>
      <c r="C322" s="200"/>
      <c r="D322" s="199">
        <f>340.4+6.33</f>
        <v>346.72999999999996</v>
      </c>
      <c r="E322" s="182"/>
      <c r="F322" s="183">
        <f t="shared" si="55"/>
        <v>346.72999999999996</v>
      </c>
      <c r="G322" s="228"/>
      <c r="H322" s="7"/>
      <c r="I322" s="51"/>
      <c r="J322" s="50"/>
      <c r="K322" s="7"/>
      <c r="L322" s="51"/>
      <c r="M322" s="65"/>
      <c r="N322" s="7"/>
      <c r="O322" s="51"/>
      <c r="P322" s="129"/>
      <c r="Q322" s="127"/>
    </row>
    <row r="323" spans="1:17" ht="12.75">
      <c r="A323" s="70" t="s">
        <v>238</v>
      </c>
      <c r="B323" s="165"/>
      <c r="C323" s="200"/>
      <c r="D323" s="199">
        <f>2617.13</f>
        <v>2617.13</v>
      </c>
      <c r="E323" s="182"/>
      <c r="F323" s="183">
        <f t="shared" si="55"/>
        <v>2617.13</v>
      </c>
      <c r="G323" s="228"/>
      <c r="H323" s="7"/>
      <c r="I323" s="51"/>
      <c r="J323" s="50"/>
      <c r="K323" s="7"/>
      <c r="L323" s="51"/>
      <c r="M323" s="65"/>
      <c r="N323" s="7"/>
      <c r="O323" s="51"/>
      <c r="P323" s="129"/>
      <c r="Q323" s="127"/>
    </row>
    <row r="324" spans="1:17" ht="12.75" hidden="1">
      <c r="A324" s="70" t="s">
        <v>244</v>
      </c>
      <c r="B324" s="165"/>
      <c r="C324" s="200"/>
      <c r="D324" s="199"/>
      <c r="E324" s="182"/>
      <c r="F324" s="183">
        <f t="shared" si="55"/>
        <v>0</v>
      </c>
      <c r="G324" s="228"/>
      <c r="H324" s="7"/>
      <c r="I324" s="51"/>
      <c r="J324" s="50"/>
      <c r="K324" s="7"/>
      <c r="L324" s="51"/>
      <c r="M324" s="65"/>
      <c r="N324" s="7"/>
      <c r="O324" s="51"/>
      <c r="P324" s="129"/>
      <c r="Q324" s="127"/>
    </row>
    <row r="325" spans="1:17" ht="12.75">
      <c r="A325" s="70" t="s">
        <v>242</v>
      </c>
      <c r="B325" s="165"/>
      <c r="C325" s="200">
        <v>6163</v>
      </c>
      <c r="D325" s="199">
        <f>-5794+214.56</f>
        <v>-5579.44</v>
      </c>
      <c r="E325" s="182"/>
      <c r="F325" s="183">
        <f t="shared" si="55"/>
        <v>583.5600000000004</v>
      </c>
      <c r="G325" s="228"/>
      <c r="H325" s="7"/>
      <c r="I325" s="51"/>
      <c r="J325" s="50"/>
      <c r="K325" s="7"/>
      <c r="L325" s="51"/>
      <c r="M325" s="65"/>
      <c r="N325" s="7"/>
      <c r="O325" s="51"/>
      <c r="P325" s="129"/>
      <c r="Q325" s="127"/>
    </row>
    <row r="326" spans="1:17" ht="12.75">
      <c r="A326" s="70" t="s">
        <v>282</v>
      </c>
      <c r="B326" s="165"/>
      <c r="C326" s="200">
        <v>2121</v>
      </c>
      <c r="D326" s="199">
        <f>-250+1595-850-300-345</f>
        <v>-150</v>
      </c>
      <c r="E326" s="182"/>
      <c r="F326" s="183">
        <f t="shared" si="55"/>
        <v>1971</v>
      </c>
      <c r="G326" s="228"/>
      <c r="H326" s="7"/>
      <c r="I326" s="51"/>
      <c r="J326" s="50"/>
      <c r="K326" s="7"/>
      <c r="L326" s="51"/>
      <c r="M326" s="65"/>
      <c r="N326" s="7"/>
      <c r="O326" s="51"/>
      <c r="P326" s="129"/>
      <c r="Q326" s="127"/>
    </row>
    <row r="327" spans="1:17" ht="12.75" hidden="1">
      <c r="A327" s="70" t="s">
        <v>345</v>
      </c>
      <c r="B327" s="165"/>
      <c r="C327" s="200"/>
      <c r="D327" s="223"/>
      <c r="E327" s="182"/>
      <c r="F327" s="183">
        <f t="shared" si="55"/>
        <v>0</v>
      </c>
      <c r="G327" s="228"/>
      <c r="H327" s="7"/>
      <c r="I327" s="51"/>
      <c r="J327" s="50"/>
      <c r="K327" s="7"/>
      <c r="L327" s="51"/>
      <c r="M327" s="65"/>
      <c r="N327" s="7"/>
      <c r="O327" s="51"/>
      <c r="P327" s="129"/>
      <c r="Q327" s="127"/>
    </row>
    <row r="328" spans="1:17" ht="12.75">
      <c r="A328" s="76" t="s">
        <v>67</v>
      </c>
      <c r="B328" s="169"/>
      <c r="C328" s="191">
        <f>SUM(C330:C342)</f>
        <v>330161</v>
      </c>
      <c r="D328" s="192">
        <f>SUM(D330:D342)</f>
        <v>928603.46</v>
      </c>
      <c r="E328" s="192">
        <f>SUM(E330:E342)</f>
        <v>0</v>
      </c>
      <c r="F328" s="193">
        <f>SUM(F330:F342)</f>
        <v>1258764.4600000002</v>
      </c>
      <c r="G328" s="228"/>
      <c r="H328" s="7"/>
      <c r="I328" s="51"/>
      <c r="J328" s="50"/>
      <c r="K328" s="7"/>
      <c r="L328" s="51"/>
      <c r="M328" s="65"/>
      <c r="N328" s="7"/>
      <c r="O328" s="51"/>
      <c r="P328" s="129"/>
      <c r="Q328" s="127"/>
    </row>
    <row r="329" spans="1:17" ht="12.75">
      <c r="A329" s="74" t="s">
        <v>33</v>
      </c>
      <c r="B329" s="165"/>
      <c r="C329" s="184"/>
      <c r="D329" s="182"/>
      <c r="E329" s="182"/>
      <c r="F329" s="183"/>
      <c r="G329" s="228"/>
      <c r="H329" s="7"/>
      <c r="I329" s="51"/>
      <c r="J329" s="50"/>
      <c r="K329" s="7"/>
      <c r="L329" s="51"/>
      <c r="M329" s="65"/>
      <c r="N329" s="7"/>
      <c r="O329" s="51"/>
      <c r="P329" s="129"/>
      <c r="Q329" s="127"/>
    </row>
    <row r="330" spans="1:17" ht="12.75" hidden="1">
      <c r="A330" s="74" t="s">
        <v>225</v>
      </c>
      <c r="B330" s="165"/>
      <c r="C330" s="184"/>
      <c r="D330" s="182"/>
      <c r="E330" s="182"/>
      <c r="F330" s="183">
        <f aca="true" t="shared" si="56" ref="F330:F354">C330+D330+E330</f>
        <v>0</v>
      </c>
      <c r="G330" s="228"/>
      <c r="H330" s="7"/>
      <c r="I330" s="51"/>
      <c r="J330" s="50"/>
      <c r="K330" s="7"/>
      <c r="L330" s="51"/>
      <c r="M330" s="65"/>
      <c r="N330" s="7"/>
      <c r="O330" s="51"/>
      <c r="P330" s="129"/>
      <c r="Q330" s="127"/>
    </row>
    <row r="331" spans="1:17" ht="12.75">
      <c r="A331" s="74" t="s">
        <v>224</v>
      </c>
      <c r="B331" s="165"/>
      <c r="C331" s="184">
        <v>5136</v>
      </c>
      <c r="D331" s="182">
        <f>992.88</f>
        <v>992.88</v>
      </c>
      <c r="E331" s="182"/>
      <c r="F331" s="183">
        <f t="shared" si="56"/>
        <v>6128.88</v>
      </c>
      <c r="G331" s="228"/>
      <c r="H331" s="7"/>
      <c r="I331" s="51"/>
      <c r="J331" s="50"/>
      <c r="K331" s="7"/>
      <c r="L331" s="51"/>
      <c r="M331" s="65"/>
      <c r="N331" s="7"/>
      <c r="O331" s="51"/>
      <c r="P331" s="129"/>
      <c r="Q331" s="127"/>
    </row>
    <row r="332" spans="1:17" ht="12.75">
      <c r="A332" s="74" t="s">
        <v>215</v>
      </c>
      <c r="B332" s="165"/>
      <c r="C332" s="184">
        <v>13580</v>
      </c>
      <c r="D332" s="182">
        <f>600</f>
        <v>600</v>
      </c>
      <c r="E332" s="182"/>
      <c r="F332" s="183">
        <f t="shared" si="56"/>
        <v>14180</v>
      </c>
      <c r="G332" s="228"/>
      <c r="H332" s="7"/>
      <c r="I332" s="51"/>
      <c r="J332" s="50"/>
      <c r="K332" s="7"/>
      <c r="L332" s="51"/>
      <c r="M332" s="65"/>
      <c r="N332" s="7"/>
      <c r="O332" s="51"/>
      <c r="P332" s="129"/>
      <c r="Q332" s="127"/>
    </row>
    <row r="333" spans="1:17" ht="12.75" hidden="1">
      <c r="A333" s="74" t="s">
        <v>316</v>
      </c>
      <c r="B333" s="165">
        <v>3000</v>
      </c>
      <c r="C333" s="184"/>
      <c r="D333" s="199"/>
      <c r="E333" s="199"/>
      <c r="F333" s="183">
        <f t="shared" si="56"/>
        <v>0</v>
      </c>
      <c r="G333" s="228"/>
      <c r="H333" s="7"/>
      <c r="I333" s="51"/>
      <c r="J333" s="50"/>
      <c r="K333" s="7"/>
      <c r="L333" s="51"/>
      <c r="M333" s="65"/>
      <c r="N333" s="7"/>
      <c r="O333" s="51"/>
      <c r="P333" s="129"/>
      <c r="Q333" s="127"/>
    </row>
    <row r="334" spans="1:17" ht="12.75">
      <c r="A334" s="74" t="s">
        <v>294</v>
      </c>
      <c r="B334" s="165"/>
      <c r="C334" s="184"/>
      <c r="D334" s="199">
        <f>600+500</f>
        <v>1100</v>
      </c>
      <c r="E334" s="199"/>
      <c r="F334" s="183">
        <f t="shared" si="56"/>
        <v>1100</v>
      </c>
      <c r="G334" s="228"/>
      <c r="H334" s="7"/>
      <c r="I334" s="51"/>
      <c r="J334" s="50"/>
      <c r="K334" s="7"/>
      <c r="L334" s="51"/>
      <c r="M334" s="65"/>
      <c r="N334" s="7"/>
      <c r="O334" s="51"/>
      <c r="P334" s="129"/>
      <c r="Q334" s="127"/>
    </row>
    <row r="335" spans="1:17" ht="12.75">
      <c r="A335" s="263" t="s">
        <v>322</v>
      </c>
      <c r="B335" s="165"/>
      <c r="C335" s="184">
        <v>50000</v>
      </c>
      <c r="D335" s="223">
        <f>120936.33-46000</f>
        <v>74936.33</v>
      </c>
      <c r="E335" s="223"/>
      <c r="F335" s="183">
        <f t="shared" si="56"/>
        <v>124936.33</v>
      </c>
      <c r="G335" s="228"/>
      <c r="H335" s="7"/>
      <c r="I335" s="51"/>
      <c r="J335" s="50"/>
      <c r="K335" s="7"/>
      <c r="L335" s="51"/>
      <c r="M335" s="65"/>
      <c r="N335" s="7"/>
      <c r="O335" s="51"/>
      <c r="P335" s="129"/>
      <c r="Q335" s="127"/>
    </row>
    <row r="336" spans="1:17" ht="12.75" hidden="1">
      <c r="A336" s="74" t="s">
        <v>299</v>
      </c>
      <c r="B336" s="265">
        <v>212161</v>
      </c>
      <c r="C336" s="184"/>
      <c r="D336" s="199"/>
      <c r="E336" s="199"/>
      <c r="F336" s="183">
        <f t="shared" si="56"/>
        <v>0</v>
      </c>
      <c r="G336" s="228"/>
      <c r="H336" s="7"/>
      <c r="I336" s="51"/>
      <c r="J336" s="50"/>
      <c r="K336" s="7"/>
      <c r="L336" s="51"/>
      <c r="M336" s="65"/>
      <c r="N336" s="7"/>
      <c r="O336" s="51"/>
      <c r="P336" s="129"/>
      <c r="Q336" s="127"/>
    </row>
    <row r="337" spans="1:17" ht="12.75">
      <c r="A337" s="70" t="s">
        <v>298</v>
      </c>
      <c r="B337" s="265">
        <v>212163</v>
      </c>
      <c r="C337" s="184">
        <v>59070</v>
      </c>
      <c r="D337" s="199">
        <f>33451.08+8000</f>
        <v>41451.08</v>
      </c>
      <c r="E337" s="199"/>
      <c r="F337" s="183">
        <f t="shared" si="56"/>
        <v>100521.08</v>
      </c>
      <c r="G337" s="228"/>
      <c r="H337" s="7"/>
      <c r="I337" s="51"/>
      <c r="J337" s="50"/>
      <c r="K337" s="7"/>
      <c r="L337" s="51"/>
      <c r="M337" s="65"/>
      <c r="N337" s="7"/>
      <c r="O337" s="51"/>
      <c r="P337" s="129"/>
      <c r="Q337" s="127"/>
    </row>
    <row r="338" spans="1:17" ht="12.75">
      <c r="A338" s="74" t="s">
        <v>333</v>
      </c>
      <c r="B338" s="265">
        <v>97573</v>
      </c>
      <c r="C338" s="184"/>
      <c r="D338" s="199">
        <v>1698.56</v>
      </c>
      <c r="E338" s="199"/>
      <c r="F338" s="183">
        <f t="shared" si="56"/>
        <v>1698.56</v>
      </c>
      <c r="G338" s="228"/>
      <c r="H338" s="7"/>
      <c r="I338" s="51"/>
      <c r="J338" s="50"/>
      <c r="K338" s="7"/>
      <c r="L338" s="51"/>
      <c r="M338" s="65"/>
      <c r="N338" s="7"/>
      <c r="O338" s="51"/>
      <c r="P338" s="129"/>
      <c r="Q338" s="127"/>
    </row>
    <row r="339" spans="1:17" ht="12.75">
      <c r="A339" s="74" t="s">
        <v>216</v>
      </c>
      <c r="B339" s="265">
        <v>212162</v>
      </c>
      <c r="C339" s="184">
        <v>30000</v>
      </c>
      <c r="D339" s="199">
        <f>71857.18+590.5</f>
        <v>72447.68</v>
      </c>
      <c r="E339" s="199"/>
      <c r="F339" s="183">
        <f t="shared" si="56"/>
        <v>102447.68</v>
      </c>
      <c r="G339" s="228"/>
      <c r="H339" s="7"/>
      <c r="I339" s="51"/>
      <c r="J339" s="50"/>
      <c r="K339" s="7"/>
      <c r="L339" s="51"/>
      <c r="M339" s="65"/>
      <c r="N339" s="7"/>
      <c r="O339" s="51"/>
      <c r="P339" s="129"/>
      <c r="Q339" s="127"/>
    </row>
    <row r="340" spans="1:17" ht="12.75">
      <c r="A340" s="74" t="s">
        <v>93</v>
      </c>
      <c r="B340" s="265"/>
      <c r="C340" s="184"/>
      <c r="D340" s="199">
        <f>52007</f>
        <v>52007</v>
      </c>
      <c r="E340" s="199"/>
      <c r="F340" s="183">
        <f t="shared" si="56"/>
        <v>52007</v>
      </c>
      <c r="G340" s="228"/>
      <c r="H340" s="7"/>
      <c r="I340" s="51"/>
      <c r="J340" s="50"/>
      <c r="K340" s="7"/>
      <c r="L340" s="51"/>
      <c r="M340" s="65"/>
      <c r="N340" s="7"/>
      <c r="O340" s="51"/>
      <c r="P340" s="129"/>
      <c r="Q340" s="127"/>
    </row>
    <row r="341" spans="1:17" ht="12.75" hidden="1">
      <c r="A341" s="74" t="s">
        <v>270</v>
      </c>
      <c r="B341" s="165"/>
      <c r="C341" s="184"/>
      <c r="D341" s="199"/>
      <c r="E341" s="199"/>
      <c r="F341" s="183">
        <f t="shared" si="56"/>
        <v>0</v>
      </c>
      <c r="G341" s="228"/>
      <c r="H341" s="7"/>
      <c r="I341" s="51"/>
      <c r="J341" s="50"/>
      <c r="K341" s="7"/>
      <c r="L341" s="51"/>
      <c r="M341" s="65"/>
      <c r="N341" s="7"/>
      <c r="O341" s="51"/>
      <c r="P341" s="129"/>
      <c r="Q341" s="127"/>
    </row>
    <row r="342" spans="1:17" ht="12.75">
      <c r="A342" s="74" t="s">
        <v>217</v>
      </c>
      <c r="B342" s="165"/>
      <c r="C342" s="254">
        <f>SUM(C343:C354)</f>
        <v>172375</v>
      </c>
      <c r="D342" s="182">
        <f>SUM(D343:D354)</f>
        <v>683369.9299999999</v>
      </c>
      <c r="E342" s="255">
        <f>SUM(E343:E354)</f>
        <v>0</v>
      </c>
      <c r="F342" s="183">
        <f>SUM(F343:F354)</f>
        <v>855744.9300000002</v>
      </c>
      <c r="G342" s="228"/>
      <c r="H342" s="7"/>
      <c r="I342" s="51"/>
      <c r="J342" s="50"/>
      <c r="K342" s="7"/>
      <c r="L342" s="51"/>
      <c r="M342" s="65"/>
      <c r="N342" s="7"/>
      <c r="O342" s="51"/>
      <c r="P342" s="129"/>
      <c r="Q342" s="127"/>
    </row>
    <row r="343" spans="1:17" ht="12.75">
      <c r="A343" s="74" t="s">
        <v>218</v>
      </c>
      <c r="B343" s="165"/>
      <c r="C343" s="184">
        <v>26000</v>
      </c>
      <c r="D343" s="199">
        <f>28036.77</f>
        <v>28036.77</v>
      </c>
      <c r="E343" s="182"/>
      <c r="F343" s="183">
        <f t="shared" si="56"/>
        <v>54036.770000000004</v>
      </c>
      <c r="G343" s="228"/>
      <c r="H343" s="7"/>
      <c r="I343" s="51"/>
      <c r="J343" s="50"/>
      <c r="K343" s="7"/>
      <c r="L343" s="51"/>
      <c r="M343" s="65"/>
      <c r="N343" s="7"/>
      <c r="O343" s="51"/>
      <c r="P343" s="129"/>
      <c r="Q343" s="127"/>
    </row>
    <row r="344" spans="1:17" ht="12.75">
      <c r="A344" s="74" t="s">
        <v>245</v>
      </c>
      <c r="B344" s="165"/>
      <c r="C344" s="184">
        <v>1000</v>
      </c>
      <c r="D344" s="199"/>
      <c r="E344" s="182"/>
      <c r="F344" s="183">
        <f t="shared" si="56"/>
        <v>1000</v>
      </c>
      <c r="G344" s="228"/>
      <c r="H344" s="7"/>
      <c r="I344" s="51"/>
      <c r="J344" s="50"/>
      <c r="K344" s="7"/>
      <c r="L344" s="51"/>
      <c r="M344" s="65"/>
      <c r="N344" s="7"/>
      <c r="O344" s="51"/>
      <c r="P344" s="129"/>
      <c r="Q344" s="127"/>
    </row>
    <row r="345" spans="1:17" ht="12.75">
      <c r="A345" s="74" t="s">
        <v>226</v>
      </c>
      <c r="B345" s="165"/>
      <c r="C345" s="184">
        <v>3450</v>
      </c>
      <c r="D345" s="199">
        <f>3471.7</f>
        <v>3471.7</v>
      </c>
      <c r="E345" s="182"/>
      <c r="F345" s="183">
        <f t="shared" si="56"/>
        <v>6921.7</v>
      </c>
      <c r="G345" s="228"/>
      <c r="H345" s="7"/>
      <c r="I345" s="51"/>
      <c r="J345" s="50"/>
      <c r="K345" s="7"/>
      <c r="L345" s="51"/>
      <c r="M345" s="65"/>
      <c r="N345" s="7"/>
      <c r="O345" s="51"/>
      <c r="P345" s="129"/>
      <c r="Q345" s="127"/>
    </row>
    <row r="346" spans="1:17" ht="12.75" hidden="1">
      <c r="A346" s="74" t="s">
        <v>261</v>
      </c>
      <c r="B346" s="165"/>
      <c r="C346" s="184"/>
      <c r="D346" s="199"/>
      <c r="E346" s="182"/>
      <c r="F346" s="183">
        <f t="shared" si="56"/>
        <v>0</v>
      </c>
      <c r="G346" s="228"/>
      <c r="H346" s="7"/>
      <c r="I346" s="51"/>
      <c r="J346" s="50"/>
      <c r="K346" s="7"/>
      <c r="L346" s="51"/>
      <c r="M346" s="65"/>
      <c r="N346" s="7"/>
      <c r="O346" s="51"/>
      <c r="P346" s="129"/>
      <c r="Q346" s="127"/>
    </row>
    <row r="347" spans="1:17" ht="12.75">
      <c r="A347" s="74" t="s">
        <v>219</v>
      </c>
      <c r="B347" s="165"/>
      <c r="C347" s="184">
        <v>65000</v>
      </c>
      <c r="D347" s="199">
        <f>855.97+170593.23+1053.69</f>
        <v>172502.89</v>
      </c>
      <c r="E347" s="182"/>
      <c r="F347" s="183">
        <f t="shared" si="56"/>
        <v>237502.89</v>
      </c>
      <c r="G347" s="228"/>
      <c r="H347" s="7"/>
      <c r="I347" s="51"/>
      <c r="J347" s="50"/>
      <c r="K347" s="7"/>
      <c r="L347" s="51"/>
      <c r="M347" s="65"/>
      <c r="N347" s="7"/>
      <c r="O347" s="51"/>
      <c r="P347" s="129"/>
      <c r="Q347" s="127"/>
    </row>
    <row r="348" spans="1:17" ht="12.75">
      <c r="A348" s="74" t="s">
        <v>220</v>
      </c>
      <c r="B348" s="165"/>
      <c r="C348" s="184">
        <v>35000</v>
      </c>
      <c r="D348" s="199">
        <f>2486.19+276.24+45.98+118.58+1093.83+334.39+4755.38+18.15-340.4-20000+400+508.56</f>
        <v>-10303.1</v>
      </c>
      <c r="E348" s="182"/>
      <c r="F348" s="183">
        <f t="shared" si="56"/>
        <v>24696.9</v>
      </c>
      <c r="G348" s="228"/>
      <c r="H348" s="7"/>
      <c r="I348" s="51"/>
      <c r="J348" s="50"/>
      <c r="K348" s="7"/>
      <c r="L348" s="51"/>
      <c r="M348" s="65"/>
      <c r="N348" s="7"/>
      <c r="O348" s="51"/>
      <c r="P348" s="129"/>
      <c r="Q348" s="127"/>
    </row>
    <row r="349" spans="1:17" ht="12.75">
      <c r="A349" s="74" t="s">
        <v>227</v>
      </c>
      <c r="B349" s="165"/>
      <c r="C349" s="184">
        <v>8000</v>
      </c>
      <c r="D349" s="199">
        <f>11617.4+2000</f>
        <v>13617.4</v>
      </c>
      <c r="E349" s="182"/>
      <c r="F349" s="183">
        <f t="shared" si="56"/>
        <v>21617.4</v>
      </c>
      <c r="G349" s="228"/>
      <c r="H349" s="7"/>
      <c r="I349" s="51"/>
      <c r="J349" s="50"/>
      <c r="K349" s="7"/>
      <c r="L349" s="51"/>
      <c r="M349" s="65"/>
      <c r="N349" s="7"/>
      <c r="O349" s="51"/>
      <c r="P349" s="129"/>
      <c r="Q349" s="127"/>
    </row>
    <row r="350" spans="1:17" ht="12.75">
      <c r="A350" s="74" t="s">
        <v>243</v>
      </c>
      <c r="B350" s="165"/>
      <c r="C350" s="184">
        <v>26000</v>
      </c>
      <c r="D350" s="199">
        <f>16373.79+2736.03</f>
        <v>19109.82</v>
      </c>
      <c r="E350" s="182">
        <v>140</v>
      </c>
      <c r="F350" s="183">
        <f t="shared" si="56"/>
        <v>45249.82</v>
      </c>
      <c r="G350" s="228"/>
      <c r="H350" s="7"/>
      <c r="I350" s="51"/>
      <c r="J350" s="50"/>
      <c r="K350" s="7"/>
      <c r="L350" s="51"/>
      <c r="M350" s="65"/>
      <c r="N350" s="7"/>
      <c r="O350" s="51"/>
      <c r="P350" s="129"/>
      <c r="Q350" s="127"/>
    </row>
    <row r="351" spans="1:17" ht="12.75">
      <c r="A351" s="74" t="s">
        <v>221</v>
      </c>
      <c r="B351" s="165"/>
      <c r="C351" s="184">
        <v>5925</v>
      </c>
      <c r="D351" s="182">
        <f>58284+10000+200</f>
        <v>68484</v>
      </c>
      <c r="E351" s="182"/>
      <c r="F351" s="183">
        <f t="shared" si="56"/>
        <v>74409</v>
      </c>
      <c r="G351" s="228"/>
      <c r="H351" s="7"/>
      <c r="I351" s="51"/>
      <c r="J351" s="50"/>
      <c r="K351" s="7"/>
      <c r="L351" s="51"/>
      <c r="M351" s="65"/>
      <c r="N351" s="7"/>
      <c r="O351" s="51"/>
      <c r="P351" s="129"/>
      <c r="Q351" s="127"/>
    </row>
    <row r="352" spans="1:17" ht="12.75">
      <c r="A352" s="74" t="s">
        <v>328</v>
      </c>
      <c r="B352" s="165">
        <v>2088</v>
      </c>
      <c r="C352" s="184"/>
      <c r="D352" s="182">
        <f>6918.64+11340.81+7316.8+77036.9+5994.23+6188.99</f>
        <v>114796.37</v>
      </c>
      <c r="E352" s="182"/>
      <c r="F352" s="183">
        <f t="shared" si="56"/>
        <v>114796.37</v>
      </c>
      <c r="G352" s="228"/>
      <c r="H352" s="7"/>
      <c r="I352" s="51"/>
      <c r="J352" s="50"/>
      <c r="K352" s="7"/>
      <c r="L352" s="51"/>
      <c r="M352" s="65"/>
      <c r="N352" s="7"/>
      <c r="O352" s="51"/>
      <c r="P352" s="129"/>
      <c r="Q352" s="127"/>
    </row>
    <row r="353" spans="1:17" ht="12.75">
      <c r="A353" s="74" t="s">
        <v>329</v>
      </c>
      <c r="B353" s="165">
        <v>2077</v>
      </c>
      <c r="C353" s="184">
        <v>2000</v>
      </c>
      <c r="D353" s="182">
        <f>-276.24-45.98+2540+8+41.13-18.15+20000+69819.04+349.73-400-180.5</f>
        <v>91837.02999999998</v>
      </c>
      <c r="E353" s="182">
        <v>-140</v>
      </c>
      <c r="F353" s="183">
        <f t="shared" si="56"/>
        <v>93697.02999999998</v>
      </c>
      <c r="G353" s="228"/>
      <c r="H353" s="7"/>
      <c r="I353" s="51"/>
      <c r="J353" s="50"/>
      <c r="K353" s="7"/>
      <c r="L353" s="51"/>
      <c r="M353" s="65"/>
      <c r="N353" s="7"/>
      <c r="O353" s="51"/>
      <c r="P353" s="129"/>
      <c r="Q353" s="127"/>
    </row>
    <row r="354" spans="1:17" ht="12.75">
      <c r="A354" s="81" t="s">
        <v>330</v>
      </c>
      <c r="B354" s="168">
        <v>2099</v>
      </c>
      <c r="C354" s="194"/>
      <c r="D354" s="195">
        <f>44.83+27.24-2486.19-25000+27.1+212347.41+44.72-2679.5-508.56</f>
        <v>181817.05000000002</v>
      </c>
      <c r="E354" s="195"/>
      <c r="F354" s="246">
        <f t="shared" si="56"/>
        <v>181817.05000000002</v>
      </c>
      <c r="G354" s="228"/>
      <c r="H354" s="7"/>
      <c r="I354" s="51"/>
      <c r="J354" s="50"/>
      <c r="K354" s="7"/>
      <c r="L354" s="51"/>
      <c r="M354" s="65"/>
      <c r="N354" s="7"/>
      <c r="O354" s="51"/>
      <c r="P354" s="129"/>
      <c r="Q354" s="127"/>
    </row>
    <row r="355" spans="1:17" ht="12.75">
      <c r="A355" s="67" t="s">
        <v>118</v>
      </c>
      <c r="B355" s="169"/>
      <c r="C355" s="179">
        <f>C356+C376</f>
        <v>188000</v>
      </c>
      <c r="D355" s="180">
        <f>D356+D376</f>
        <v>640908.78</v>
      </c>
      <c r="E355" s="180">
        <f>E356+E376</f>
        <v>0</v>
      </c>
      <c r="F355" s="181">
        <f>F356+F376</f>
        <v>828908.78</v>
      </c>
      <c r="G355" s="227"/>
      <c r="H355" s="6"/>
      <c r="I355" s="49">
        <f>I356+I376</f>
        <v>193917.73</v>
      </c>
      <c r="J355" s="48"/>
      <c r="K355" s="6"/>
      <c r="L355" s="49">
        <f>L356+L376</f>
        <v>193917.73</v>
      </c>
      <c r="M355" s="48"/>
      <c r="N355" s="6"/>
      <c r="O355" s="49">
        <f>O356+O376</f>
        <v>193917.73</v>
      </c>
      <c r="P355" s="130"/>
      <c r="Q355" s="107">
        <f>Q356+Q376</f>
        <v>193917.73</v>
      </c>
    </row>
    <row r="356" spans="1:17" ht="12.75">
      <c r="A356" s="76" t="s">
        <v>62</v>
      </c>
      <c r="B356" s="169"/>
      <c r="C356" s="191">
        <f>SUM(C358:C375)</f>
        <v>188000</v>
      </c>
      <c r="D356" s="192">
        <f>SUM(D358:D375)</f>
        <v>640908.78</v>
      </c>
      <c r="E356" s="192">
        <f>SUM(E358:E375)</f>
        <v>0</v>
      </c>
      <c r="F356" s="193">
        <f>SUM(F358:F375)</f>
        <v>828908.78</v>
      </c>
      <c r="G356" s="231"/>
      <c r="H356" s="12"/>
      <c r="I356" s="59">
        <f>SUM(I358:I375)</f>
        <v>193917.73</v>
      </c>
      <c r="J356" s="58"/>
      <c r="K356" s="12"/>
      <c r="L356" s="59">
        <f>SUM(L358:L375)</f>
        <v>193917.73</v>
      </c>
      <c r="M356" s="58"/>
      <c r="N356" s="12"/>
      <c r="O356" s="59">
        <f>SUM(O358:O375)</f>
        <v>193917.73</v>
      </c>
      <c r="P356" s="134"/>
      <c r="Q356" s="108">
        <f>SUM(Q358:Q375)</f>
        <v>193917.73</v>
      </c>
    </row>
    <row r="357" spans="1:17" ht="12.75">
      <c r="A357" s="72" t="s">
        <v>33</v>
      </c>
      <c r="B357" s="165"/>
      <c r="C357" s="184"/>
      <c r="D357" s="182"/>
      <c r="E357" s="182"/>
      <c r="F357" s="183"/>
      <c r="G357" s="228"/>
      <c r="H357" s="7"/>
      <c r="I357" s="51"/>
      <c r="J357" s="50"/>
      <c r="K357" s="7"/>
      <c r="L357" s="51"/>
      <c r="M357" s="50"/>
      <c r="N357" s="7"/>
      <c r="O357" s="51"/>
      <c r="P357" s="129"/>
      <c r="Q357" s="127"/>
    </row>
    <row r="358" spans="1:17" ht="12.75">
      <c r="A358" s="83" t="s">
        <v>119</v>
      </c>
      <c r="B358" s="171"/>
      <c r="C358" s="184">
        <v>149300</v>
      </c>
      <c r="D358" s="182"/>
      <c r="E358" s="182"/>
      <c r="F358" s="183">
        <f aca="true" t="shared" si="57" ref="F358:F375">C358+D358+E358</f>
        <v>149300</v>
      </c>
      <c r="G358" s="228"/>
      <c r="H358" s="7"/>
      <c r="I358" s="51">
        <f>F358+G358+H358</f>
        <v>149300</v>
      </c>
      <c r="J358" s="50"/>
      <c r="K358" s="7"/>
      <c r="L358" s="51">
        <f>I358+J358+K358</f>
        <v>149300</v>
      </c>
      <c r="M358" s="50"/>
      <c r="N358" s="7"/>
      <c r="O358" s="51">
        <f>L358+M358+N358</f>
        <v>149300</v>
      </c>
      <c r="P358" s="129"/>
      <c r="Q358" s="127">
        <f>O358+P358</f>
        <v>149300</v>
      </c>
    </row>
    <row r="359" spans="1:17" ht="12.75">
      <c r="A359" s="166" t="s">
        <v>276</v>
      </c>
      <c r="B359" s="171"/>
      <c r="C359" s="184"/>
      <c r="D359" s="182">
        <v>12000</v>
      </c>
      <c r="E359" s="182"/>
      <c r="F359" s="183">
        <f t="shared" si="57"/>
        <v>12000</v>
      </c>
      <c r="G359" s="228"/>
      <c r="H359" s="7"/>
      <c r="I359" s="51"/>
      <c r="J359" s="50"/>
      <c r="K359" s="7"/>
      <c r="L359" s="51"/>
      <c r="M359" s="50"/>
      <c r="N359" s="7"/>
      <c r="O359" s="51"/>
      <c r="P359" s="129"/>
      <c r="Q359" s="127"/>
    </row>
    <row r="360" spans="1:17" ht="12.75" hidden="1">
      <c r="A360" s="70" t="s">
        <v>177</v>
      </c>
      <c r="B360" s="165"/>
      <c r="C360" s="184"/>
      <c r="D360" s="182"/>
      <c r="E360" s="182"/>
      <c r="F360" s="183">
        <f t="shared" si="57"/>
        <v>0</v>
      </c>
      <c r="G360" s="228"/>
      <c r="H360" s="7"/>
      <c r="I360" s="51">
        <f aca="true" t="shared" si="58" ref="I360:I375">F360+G360+H360</f>
        <v>0</v>
      </c>
      <c r="J360" s="50"/>
      <c r="K360" s="7"/>
      <c r="L360" s="51">
        <f aca="true" t="shared" si="59" ref="L360:L375">I360+J360+K360</f>
        <v>0</v>
      </c>
      <c r="M360" s="50"/>
      <c r="N360" s="7"/>
      <c r="O360" s="51">
        <f aca="true" t="shared" si="60" ref="O360:O375">L360+M360+N360</f>
        <v>0</v>
      </c>
      <c r="P360" s="129"/>
      <c r="Q360" s="127">
        <f>O360+P360</f>
        <v>0</v>
      </c>
    </row>
    <row r="361" spans="1:17" ht="12.75">
      <c r="A361" s="70" t="s">
        <v>206</v>
      </c>
      <c r="B361" s="165"/>
      <c r="C361" s="184">
        <v>30700</v>
      </c>
      <c r="D361" s="182">
        <f>-2200+246.77</f>
        <v>-1953.23</v>
      </c>
      <c r="E361" s="182"/>
      <c r="F361" s="183">
        <f t="shared" si="57"/>
        <v>28746.77</v>
      </c>
      <c r="G361" s="228"/>
      <c r="H361" s="7"/>
      <c r="I361" s="51"/>
      <c r="J361" s="50"/>
      <c r="K361" s="7"/>
      <c r="L361" s="51"/>
      <c r="M361" s="50"/>
      <c r="N361" s="7"/>
      <c r="O361" s="51"/>
      <c r="P361" s="129"/>
      <c r="Q361" s="127"/>
    </row>
    <row r="362" spans="1:17" ht="12.75">
      <c r="A362" s="70" t="s">
        <v>64</v>
      </c>
      <c r="B362" s="165"/>
      <c r="C362" s="184">
        <v>8000</v>
      </c>
      <c r="D362" s="182">
        <f>2200</f>
        <v>2200</v>
      </c>
      <c r="E362" s="182"/>
      <c r="F362" s="183">
        <f t="shared" si="57"/>
        <v>10200</v>
      </c>
      <c r="G362" s="228"/>
      <c r="H362" s="7"/>
      <c r="I362" s="51">
        <f t="shared" si="58"/>
        <v>10200</v>
      </c>
      <c r="J362" s="50"/>
      <c r="K362" s="7"/>
      <c r="L362" s="51">
        <f t="shared" si="59"/>
        <v>10200</v>
      </c>
      <c r="M362" s="50"/>
      <c r="N362" s="7"/>
      <c r="O362" s="51">
        <f t="shared" si="60"/>
        <v>10200</v>
      </c>
      <c r="P362" s="129"/>
      <c r="Q362" s="127">
        <f>O362+P362</f>
        <v>10200</v>
      </c>
    </row>
    <row r="363" spans="1:17" ht="12.75" hidden="1">
      <c r="A363" s="70" t="s">
        <v>79</v>
      </c>
      <c r="B363" s="165"/>
      <c r="C363" s="184"/>
      <c r="D363" s="182"/>
      <c r="E363" s="182"/>
      <c r="F363" s="183">
        <f t="shared" si="57"/>
        <v>0</v>
      </c>
      <c r="G363" s="228"/>
      <c r="H363" s="7"/>
      <c r="I363" s="51">
        <f t="shared" si="58"/>
        <v>0</v>
      </c>
      <c r="J363" s="50"/>
      <c r="K363" s="7"/>
      <c r="L363" s="51">
        <f t="shared" si="59"/>
        <v>0</v>
      </c>
      <c r="M363" s="50"/>
      <c r="N363" s="7"/>
      <c r="O363" s="51">
        <f t="shared" si="60"/>
        <v>0</v>
      </c>
      <c r="P363" s="129"/>
      <c r="Q363" s="127">
        <f>O363+P363</f>
        <v>0</v>
      </c>
    </row>
    <row r="364" spans="1:17" ht="12.75" hidden="1">
      <c r="A364" s="70" t="s">
        <v>268</v>
      </c>
      <c r="B364" s="165"/>
      <c r="C364" s="184"/>
      <c r="D364" s="182"/>
      <c r="E364" s="182"/>
      <c r="F364" s="183">
        <f t="shared" si="57"/>
        <v>0</v>
      </c>
      <c r="G364" s="228"/>
      <c r="H364" s="7"/>
      <c r="I364" s="51"/>
      <c r="J364" s="50"/>
      <c r="K364" s="7"/>
      <c r="L364" s="51"/>
      <c r="M364" s="50"/>
      <c r="N364" s="7"/>
      <c r="O364" s="51"/>
      <c r="P364" s="129"/>
      <c r="Q364" s="127"/>
    </row>
    <row r="365" spans="1:17" ht="12.75">
      <c r="A365" s="166" t="s">
        <v>350</v>
      </c>
      <c r="B365" s="165">
        <v>2043</v>
      </c>
      <c r="C365" s="184"/>
      <c r="D365" s="182">
        <f>2680.55</f>
        <v>2680.55</v>
      </c>
      <c r="E365" s="182"/>
      <c r="F365" s="183">
        <f t="shared" si="57"/>
        <v>2680.55</v>
      </c>
      <c r="G365" s="228"/>
      <c r="H365" s="7"/>
      <c r="I365" s="51"/>
      <c r="J365" s="50"/>
      <c r="K365" s="7"/>
      <c r="L365" s="51"/>
      <c r="M365" s="50"/>
      <c r="N365" s="7"/>
      <c r="O365" s="51"/>
      <c r="P365" s="129"/>
      <c r="Q365" s="127"/>
    </row>
    <row r="366" spans="1:17" ht="12.75">
      <c r="A366" s="70" t="s">
        <v>332</v>
      </c>
      <c r="B366" s="165">
        <v>2050</v>
      </c>
      <c r="C366" s="184"/>
      <c r="D366" s="182">
        <f>5089.85</f>
        <v>5089.85</v>
      </c>
      <c r="E366" s="182"/>
      <c r="F366" s="183">
        <f t="shared" si="57"/>
        <v>5089.85</v>
      </c>
      <c r="G366" s="228"/>
      <c r="H366" s="7"/>
      <c r="I366" s="51"/>
      <c r="J366" s="50"/>
      <c r="K366" s="7"/>
      <c r="L366" s="51"/>
      <c r="M366" s="50"/>
      <c r="N366" s="7"/>
      <c r="O366" s="51"/>
      <c r="P366" s="129"/>
      <c r="Q366" s="127"/>
    </row>
    <row r="367" spans="1:17" ht="12.75">
      <c r="A367" s="70" t="s">
        <v>337</v>
      </c>
      <c r="B367" s="165">
        <v>2050</v>
      </c>
      <c r="C367" s="184"/>
      <c r="D367" s="182">
        <f>94024.14</f>
        <v>94024.14</v>
      </c>
      <c r="E367" s="182"/>
      <c r="F367" s="183">
        <f t="shared" si="57"/>
        <v>94024.14</v>
      </c>
      <c r="G367" s="228"/>
      <c r="H367" s="7"/>
      <c r="I367" s="51"/>
      <c r="J367" s="50"/>
      <c r="K367" s="7"/>
      <c r="L367" s="51"/>
      <c r="M367" s="50"/>
      <c r="N367" s="7"/>
      <c r="O367" s="51"/>
      <c r="P367" s="129"/>
      <c r="Q367" s="127"/>
    </row>
    <row r="368" spans="1:17" ht="12.75">
      <c r="A368" s="70" t="s">
        <v>331</v>
      </c>
      <c r="B368" s="165">
        <v>2044</v>
      </c>
      <c r="C368" s="184"/>
      <c r="D368" s="182">
        <f>6509.74</f>
        <v>6509.74</v>
      </c>
      <c r="E368" s="182"/>
      <c r="F368" s="183">
        <f t="shared" si="57"/>
        <v>6509.74</v>
      </c>
      <c r="G368" s="228"/>
      <c r="H368" s="7"/>
      <c r="I368" s="51"/>
      <c r="J368" s="50"/>
      <c r="K368" s="7"/>
      <c r="L368" s="51"/>
      <c r="M368" s="50"/>
      <c r="N368" s="7"/>
      <c r="O368" s="51"/>
      <c r="P368" s="129"/>
      <c r="Q368" s="127"/>
    </row>
    <row r="369" spans="1:17" ht="12.75" hidden="1">
      <c r="A369" s="79" t="s">
        <v>317</v>
      </c>
      <c r="B369" s="165">
        <v>2063</v>
      </c>
      <c r="C369" s="184"/>
      <c r="D369" s="182"/>
      <c r="E369" s="182"/>
      <c r="F369" s="183">
        <f t="shared" si="57"/>
        <v>0</v>
      </c>
      <c r="G369" s="228"/>
      <c r="H369" s="7"/>
      <c r="I369" s="51">
        <f t="shared" si="58"/>
        <v>0</v>
      </c>
      <c r="J369" s="50"/>
      <c r="K369" s="7"/>
      <c r="L369" s="51">
        <f t="shared" si="59"/>
        <v>0</v>
      </c>
      <c r="M369" s="50"/>
      <c r="N369" s="7"/>
      <c r="O369" s="51">
        <f t="shared" si="60"/>
        <v>0</v>
      </c>
      <c r="P369" s="129"/>
      <c r="Q369" s="127">
        <f aca="true" t="shared" si="61" ref="Q369:Q375">O369+P369</f>
        <v>0</v>
      </c>
    </row>
    <row r="370" spans="1:17" ht="12.75" hidden="1">
      <c r="A370" s="79" t="s">
        <v>318</v>
      </c>
      <c r="B370" s="165">
        <v>2048</v>
      </c>
      <c r="C370" s="184"/>
      <c r="D370" s="182"/>
      <c r="E370" s="182"/>
      <c r="F370" s="183">
        <f t="shared" si="57"/>
        <v>0</v>
      </c>
      <c r="G370" s="228"/>
      <c r="H370" s="7"/>
      <c r="I370" s="51"/>
      <c r="J370" s="50"/>
      <c r="K370" s="7"/>
      <c r="L370" s="51"/>
      <c r="M370" s="50"/>
      <c r="N370" s="7"/>
      <c r="O370" s="51"/>
      <c r="P370" s="129"/>
      <c r="Q370" s="127"/>
    </row>
    <row r="371" spans="1:17" ht="12.75">
      <c r="A371" s="79" t="s">
        <v>271</v>
      </c>
      <c r="B371" s="165">
        <v>13305</v>
      </c>
      <c r="C371" s="184"/>
      <c r="D371" s="182">
        <f>485940</f>
        <v>485940</v>
      </c>
      <c r="E371" s="182"/>
      <c r="F371" s="183">
        <f t="shared" si="57"/>
        <v>485940</v>
      </c>
      <c r="G371" s="228"/>
      <c r="H371" s="7"/>
      <c r="I371" s="51"/>
      <c r="J371" s="50"/>
      <c r="K371" s="7"/>
      <c r="L371" s="51"/>
      <c r="M371" s="50"/>
      <c r="N371" s="7"/>
      <c r="O371" s="51"/>
      <c r="P371" s="129"/>
      <c r="Q371" s="127"/>
    </row>
    <row r="372" spans="1:17" ht="12.75">
      <c r="A372" s="70" t="s">
        <v>120</v>
      </c>
      <c r="B372" s="165">
        <v>13307</v>
      </c>
      <c r="C372" s="184"/>
      <c r="D372" s="182">
        <f>2500</f>
        <v>2500</v>
      </c>
      <c r="E372" s="182"/>
      <c r="F372" s="183">
        <f t="shared" si="57"/>
        <v>2500</v>
      </c>
      <c r="G372" s="228"/>
      <c r="H372" s="7"/>
      <c r="I372" s="51">
        <f t="shared" si="58"/>
        <v>2500</v>
      </c>
      <c r="J372" s="50"/>
      <c r="K372" s="7"/>
      <c r="L372" s="51">
        <f t="shared" si="59"/>
        <v>2500</v>
      </c>
      <c r="M372" s="50"/>
      <c r="N372" s="7"/>
      <c r="O372" s="51">
        <f t="shared" si="60"/>
        <v>2500</v>
      </c>
      <c r="P372" s="129"/>
      <c r="Q372" s="127">
        <f t="shared" si="61"/>
        <v>2500</v>
      </c>
    </row>
    <row r="373" spans="1:17" ht="12.75" hidden="1">
      <c r="A373" s="70" t="s">
        <v>176</v>
      </c>
      <c r="B373" s="165">
        <v>14018</v>
      </c>
      <c r="C373" s="184"/>
      <c r="D373" s="182"/>
      <c r="E373" s="182"/>
      <c r="F373" s="183">
        <f t="shared" si="57"/>
        <v>0</v>
      </c>
      <c r="G373" s="228"/>
      <c r="H373" s="7"/>
      <c r="I373" s="51">
        <f t="shared" si="58"/>
        <v>0</v>
      </c>
      <c r="J373" s="50"/>
      <c r="K373" s="7"/>
      <c r="L373" s="51">
        <f t="shared" si="59"/>
        <v>0</v>
      </c>
      <c r="M373" s="50"/>
      <c r="N373" s="7"/>
      <c r="O373" s="51">
        <f t="shared" si="60"/>
        <v>0</v>
      </c>
      <c r="P373" s="129"/>
      <c r="Q373" s="127">
        <f t="shared" si="61"/>
        <v>0</v>
      </c>
    </row>
    <row r="374" spans="1:17" ht="12.75" hidden="1">
      <c r="A374" s="79" t="s">
        <v>191</v>
      </c>
      <c r="B374" s="165">
        <v>4359</v>
      </c>
      <c r="C374" s="184"/>
      <c r="D374" s="182"/>
      <c r="E374" s="182"/>
      <c r="F374" s="183">
        <f t="shared" si="57"/>
        <v>0</v>
      </c>
      <c r="G374" s="228"/>
      <c r="H374" s="7"/>
      <c r="I374" s="51">
        <f t="shared" si="58"/>
        <v>0</v>
      </c>
      <c r="J374" s="50"/>
      <c r="K374" s="7"/>
      <c r="L374" s="51">
        <f t="shared" si="59"/>
        <v>0</v>
      </c>
      <c r="M374" s="50"/>
      <c r="N374" s="7"/>
      <c r="O374" s="51">
        <f t="shared" si="60"/>
        <v>0</v>
      </c>
      <c r="P374" s="129"/>
      <c r="Q374" s="127">
        <f t="shared" si="61"/>
        <v>0</v>
      </c>
    </row>
    <row r="375" spans="1:17" ht="12.75">
      <c r="A375" s="73" t="s">
        <v>94</v>
      </c>
      <c r="B375" s="168"/>
      <c r="C375" s="194"/>
      <c r="D375" s="195">
        <f>25000+5794+136.54+139.37+847.82</f>
        <v>31917.73</v>
      </c>
      <c r="E375" s="195"/>
      <c r="F375" s="246">
        <f t="shared" si="57"/>
        <v>31917.73</v>
      </c>
      <c r="G375" s="228"/>
      <c r="H375" s="7"/>
      <c r="I375" s="51">
        <f t="shared" si="58"/>
        <v>31917.73</v>
      </c>
      <c r="J375" s="50"/>
      <c r="K375" s="7"/>
      <c r="L375" s="51">
        <f t="shared" si="59"/>
        <v>31917.73</v>
      </c>
      <c r="M375" s="50"/>
      <c r="N375" s="7"/>
      <c r="O375" s="51">
        <f t="shared" si="60"/>
        <v>31917.73</v>
      </c>
      <c r="P375" s="129"/>
      <c r="Q375" s="127">
        <f t="shared" si="61"/>
        <v>31917.73</v>
      </c>
    </row>
    <row r="376" spans="1:17" ht="12.75" hidden="1">
      <c r="A376" s="76" t="s">
        <v>67</v>
      </c>
      <c r="B376" s="169"/>
      <c r="C376" s="191">
        <f>SUM(C378:C380)</f>
        <v>0</v>
      </c>
      <c r="D376" s="192">
        <f>SUM(D378:D380)</f>
        <v>0</v>
      </c>
      <c r="E376" s="192">
        <f>SUM(E378:E380)</f>
        <v>0</v>
      </c>
      <c r="F376" s="193">
        <f>SUM(F378:F380)</f>
        <v>0</v>
      </c>
      <c r="G376" s="231"/>
      <c r="H376" s="12"/>
      <c r="I376" s="59">
        <f>SUM(I378:I380)</f>
        <v>0</v>
      </c>
      <c r="J376" s="58"/>
      <c r="K376" s="12"/>
      <c r="L376" s="59">
        <f>SUM(L378:L380)</f>
        <v>0</v>
      </c>
      <c r="M376" s="58"/>
      <c r="N376" s="12"/>
      <c r="O376" s="59">
        <f>SUM(O378:O380)</f>
        <v>0</v>
      </c>
      <c r="P376" s="134"/>
      <c r="Q376" s="108">
        <f>SUM(Q378:Q380)</f>
        <v>0</v>
      </c>
    </row>
    <row r="377" spans="1:17" ht="12.75" hidden="1">
      <c r="A377" s="72" t="s">
        <v>33</v>
      </c>
      <c r="B377" s="165"/>
      <c r="C377" s="184"/>
      <c r="D377" s="182"/>
      <c r="E377" s="182"/>
      <c r="F377" s="183"/>
      <c r="G377" s="228"/>
      <c r="H377" s="7"/>
      <c r="I377" s="51"/>
      <c r="J377" s="50"/>
      <c r="K377" s="7"/>
      <c r="L377" s="51"/>
      <c r="M377" s="50"/>
      <c r="N377" s="7"/>
      <c r="O377" s="51"/>
      <c r="P377" s="129"/>
      <c r="Q377" s="127"/>
    </row>
    <row r="378" spans="1:17" ht="12.75" hidden="1">
      <c r="A378" s="70" t="s">
        <v>109</v>
      </c>
      <c r="B378" s="165"/>
      <c r="C378" s="184"/>
      <c r="D378" s="182"/>
      <c r="E378" s="182"/>
      <c r="F378" s="183">
        <f>C378+D378+E378</f>
        <v>0</v>
      </c>
      <c r="G378" s="228"/>
      <c r="H378" s="7"/>
      <c r="I378" s="51">
        <f>F378+G378+H378</f>
        <v>0</v>
      </c>
      <c r="J378" s="50"/>
      <c r="K378" s="7"/>
      <c r="L378" s="51">
        <f>I378+J378+K378</f>
        <v>0</v>
      </c>
      <c r="M378" s="50"/>
      <c r="N378" s="7"/>
      <c r="O378" s="51">
        <f>L378+M378+N378</f>
        <v>0</v>
      </c>
      <c r="P378" s="129"/>
      <c r="Q378" s="127">
        <f>O378+P378</f>
        <v>0</v>
      </c>
    </row>
    <row r="379" spans="1:17" ht="12.75" hidden="1">
      <c r="A379" s="70" t="s">
        <v>68</v>
      </c>
      <c r="B379" s="165"/>
      <c r="C379" s="184"/>
      <c r="D379" s="182"/>
      <c r="E379" s="182"/>
      <c r="F379" s="183">
        <f>C379+D379+E379</f>
        <v>0</v>
      </c>
      <c r="G379" s="228"/>
      <c r="H379" s="7"/>
      <c r="I379" s="51"/>
      <c r="J379" s="50"/>
      <c r="K379" s="7"/>
      <c r="L379" s="51">
        <f>I379+J379+K379</f>
        <v>0</v>
      </c>
      <c r="M379" s="50"/>
      <c r="N379" s="7"/>
      <c r="O379" s="51">
        <f>L379+M379+N379</f>
        <v>0</v>
      </c>
      <c r="P379" s="129"/>
      <c r="Q379" s="127">
        <f>O379+P379</f>
        <v>0</v>
      </c>
    </row>
    <row r="380" spans="1:17" ht="12.75" hidden="1">
      <c r="A380" s="73" t="s">
        <v>94</v>
      </c>
      <c r="B380" s="168"/>
      <c r="C380" s="194"/>
      <c r="D380" s="195"/>
      <c r="E380" s="195"/>
      <c r="F380" s="246">
        <f>C380+D380+E380</f>
        <v>0</v>
      </c>
      <c r="G380" s="228"/>
      <c r="H380" s="7"/>
      <c r="I380" s="51">
        <f>F380+G380+H380</f>
        <v>0</v>
      </c>
      <c r="J380" s="50"/>
      <c r="K380" s="7"/>
      <c r="L380" s="51">
        <f>I380+J380+K380</f>
        <v>0</v>
      </c>
      <c r="M380" s="50"/>
      <c r="N380" s="7"/>
      <c r="O380" s="51">
        <f>L380+M380+N380</f>
        <v>0</v>
      </c>
      <c r="P380" s="129"/>
      <c r="Q380" s="127">
        <f>O380+P380</f>
        <v>0</v>
      </c>
    </row>
    <row r="381" spans="1:17" ht="12.75">
      <c r="A381" s="71" t="s">
        <v>239</v>
      </c>
      <c r="B381" s="169"/>
      <c r="C381" s="179">
        <f>C382+C393</f>
        <v>63360</v>
      </c>
      <c r="D381" s="180">
        <f>D382+D393</f>
        <v>-28006.37</v>
      </c>
      <c r="E381" s="180">
        <f>E382+E393</f>
        <v>0</v>
      </c>
      <c r="F381" s="181">
        <f>F382+F393</f>
        <v>35353.630000000005</v>
      </c>
      <c r="G381" s="227"/>
      <c r="H381" s="6"/>
      <c r="I381" s="49" t="e">
        <f>I382+I393</f>
        <v>#REF!</v>
      </c>
      <c r="J381" s="48"/>
      <c r="K381" s="6"/>
      <c r="L381" s="49" t="e">
        <f>L382+L393</f>
        <v>#REF!</v>
      </c>
      <c r="M381" s="48"/>
      <c r="N381" s="6"/>
      <c r="O381" s="49" t="e">
        <f>O382+O393</f>
        <v>#REF!</v>
      </c>
      <c r="P381" s="130"/>
      <c r="Q381" s="107" t="e">
        <f>Q382+Q393</f>
        <v>#REF!</v>
      </c>
    </row>
    <row r="382" spans="1:17" ht="12.75">
      <c r="A382" s="76" t="s">
        <v>62</v>
      </c>
      <c r="B382" s="169"/>
      <c r="C382" s="191">
        <f>SUM(C384:C392)</f>
        <v>61860</v>
      </c>
      <c r="D382" s="192">
        <f>SUM(D384:D392)</f>
        <v>-28006.37</v>
      </c>
      <c r="E382" s="192">
        <f>SUM(E384:E392)</f>
        <v>0</v>
      </c>
      <c r="F382" s="193">
        <f>SUM(F384:F392)</f>
        <v>33853.630000000005</v>
      </c>
      <c r="G382" s="231"/>
      <c r="H382" s="12"/>
      <c r="I382" s="59" t="e">
        <f>SUM(I384:I392)-#REF!</f>
        <v>#REF!</v>
      </c>
      <c r="J382" s="58"/>
      <c r="K382" s="12"/>
      <c r="L382" s="59" t="e">
        <f>SUM(L384:L392)-#REF!</f>
        <v>#REF!</v>
      </c>
      <c r="M382" s="58"/>
      <c r="N382" s="12"/>
      <c r="O382" s="59" t="e">
        <f>SUM(O384:O392)-#REF!</f>
        <v>#REF!</v>
      </c>
      <c r="P382" s="134"/>
      <c r="Q382" s="108" t="e">
        <f>SUM(Q384:Q392)-#REF!</f>
        <v>#REF!</v>
      </c>
    </row>
    <row r="383" spans="1:17" ht="12.75">
      <c r="A383" s="72" t="s">
        <v>33</v>
      </c>
      <c r="B383" s="165"/>
      <c r="C383" s="184"/>
      <c r="D383" s="182"/>
      <c r="E383" s="182"/>
      <c r="F383" s="181"/>
      <c r="G383" s="228"/>
      <c r="H383" s="7"/>
      <c r="I383" s="49"/>
      <c r="J383" s="50"/>
      <c r="K383" s="7"/>
      <c r="L383" s="49"/>
      <c r="M383" s="50"/>
      <c r="N383" s="7"/>
      <c r="O383" s="49"/>
      <c r="P383" s="129"/>
      <c r="Q383" s="127"/>
    </row>
    <row r="384" spans="1:17" ht="12.75">
      <c r="A384" s="70" t="s">
        <v>64</v>
      </c>
      <c r="B384" s="165"/>
      <c r="C384" s="184">
        <v>10350</v>
      </c>
      <c r="D384" s="182">
        <f>1042+200</f>
        <v>1242</v>
      </c>
      <c r="E384" s="182"/>
      <c r="F384" s="183">
        <f aca="true" t="shared" si="62" ref="F384:F392">C384+D384+E384</f>
        <v>11592</v>
      </c>
      <c r="G384" s="228"/>
      <c r="H384" s="7"/>
      <c r="I384" s="51">
        <f>F384+G384+H384</f>
        <v>11592</v>
      </c>
      <c r="J384" s="50"/>
      <c r="K384" s="7"/>
      <c r="L384" s="51">
        <f>I384+J384+K384</f>
        <v>11592</v>
      </c>
      <c r="M384" s="50"/>
      <c r="N384" s="7"/>
      <c r="O384" s="51">
        <f>L384+M384+N384</f>
        <v>11592</v>
      </c>
      <c r="P384" s="129"/>
      <c r="Q384" s="127">
        <f>O384+P384</f>
        <v>11592</v>
      </c>
    </row>
    <row r="385" spans="1:17" ht="12.75" hidden="1">
      <c r="A385" s="74" t="s">
        <v>273</v>
      </c>
      <c r="B385" s="165"/>
      <c r="C385" s="184"/>
      <c r="D385" s="182"/>
      <c r="E385" s="182"/>
      <c r="F385" s="183">
        <f t="shared" si="62"/>
        <v>0</v>
      </c>
      <c r="G385" s="228"/>
      <c r="H385" s="7"/>
      <c r="I385" s="51">
        <f aca="true" t="shared" si="63" ref="I385:I390">F385+G385+H385</f>
        <v>0</v>
      </c>
      <c r="J385" s="50"/>
      <c r="K385" s="7"/>
      <c r="L385" s="51">
        <f aca="true" t="shared" si="64" ref="L385:L390">I385+J385+K385</f>
        <v>0</v>
      </c>
      <c r="M385" s="50"/>
      <c r="N385" s="7"/>
      <c r="O385" s="51">
        <f aca="true" t="shared" si="65" ref="O385:O390">L385+M385+N385</f>
        <v>0</v>
      </c>
      <c r="P385" s="129"/>
      <c r="Q385" s="127">
        <f>O385+P385</f>
        <v>0</v>
      </c>
    </row>
    <row r="386" spans="1:17" ht="12.75">
      <c r="A386" s="74" t="s">
        <v>274</v>
      </c>
      <c r="B386" s="165"/>
      <c r="C386" s="184">
        <v>50000</v>
      </c>
      <c r="D386" s="182">
        <f>-29000</f>
        <v>-29000</v>
      </c>
      <c r="E386" s="182"/>
      <c r="F386" s="183">
        <f t="shared" si="62"/>
        <v>21000</v>
      </c>
      <c r="G386" s="228"/>
      <c r="H386" s="7"/>
      <c r="I386" s="51"/>
      <c r="J386" s="50"/>
      <c r="K386" s="7"/>
      <c r="L386" s="51"/>
      <c r="M386" s="50"/>
      <c r="N386" s="7"/>
      <c r="O386" s="51"/>
      <c r="P386" s="129"/>
      <c r="Q386" s="127"/>
    </row>
    <row r="387" spans="1:17" ht="12.75">
      <c r="A387" s="74" t="s">
        <v>277</v>
      </c>
      <c r="B387" s="165">
        <v>1400</v>
      </c>
      <c r="C387" s="184">
        <v>1510</v>
      </c>
      <c r="D387" s="199">
        <f>-1510</f>
        <v>-1510</v>
      </c>
      <c r="E387" s="182"/>
      <c r="F387" s="183">
        <f t="shared" si="62"/>
        <v>0</v>
      </c>
      <c r="G387" s="228"/>
      <c r="H387" s="7"/>
      <c r="I387" s="51"/>
      <c r="J387" s="50"/>
      <c r="K387" s="7"/>
      <c r="L387" s="51"/>
      <c r="M387" s="50"/>
      <c r="N387" s="7"/>
      <c r="O387" s="51"/>
      <c r="P387" s="129"/>
      <c r="Q387" s="127"/>
    </row>
    <row r="388" spans="1:17" ht="12.75">
      <c r="A388" s="70" t="s">
        <v>94</v>
      </c>
      <c r="B388" s="165"/>
      <c r="C388" s="184"/>
      <c r="D388" s="199">
        <f>156.9+13.3</f>
        <v>170.20000000000002</v>
      </c>
      <c r="E388" s="182"/>
      <c r="F388" s="183">
        <f t="shared" si="62"/>
        <v>170.20000000000002</v>
      </c>
      <c r="G388" s="228"/>
      <c r="H388" s="7"/>
      <c r="I388" s="51">
        <f t="shared" si="63"/>
        <v>170.20000000000002</v>
      </c>
      <c r="J388" s="50"/>
      <c r="K388" s="7"/>
      <c r="L388" s="51">
        <f t="shared" si="64"/>
        <v>170.20000000000002</v>
      </c>
      <c r="M388" s="50"/>
      <c r="N388" s="7"/>
      <c r="O388" s="51">
        <f t="shared" si="65"/>
        <v>170.20000000000002</v>
      </c>
      <c r="P388" s="129"/>
      <c r="Q388" s="127">
        <f>O388+P388</f>
        <v>170.20000000000002</v>
      </c>
    </row>
    <row r="389" spans="1:17" ht="12.75" hidden="1">
      <c r="A389" s="70" t="s">
        <v>79</v>
      </c>
      <c r="B389" s="165"/>
      <c r="C389" s="184"/>
      <c r="D389" s="182"/>
      <c r="E389" s="182"/>
      <c r="F389" s="183">
        <f t="shared" si="62"/>
        <v>0</v>
      </c>
      <c r="G389" s="228"/>
      <c r="H389" s="7"/>
      <c r="I389" s="51">
        <f t="shared" si="63"/>
        <v>0</v>
      </c>
      <c r="J389" s="65"/>
      <c r="K389" s="7"/>
      <c r="L389" s="51">
        <f t="shared" si="64"/>
        <v>0</v>
      </c>
      <c r="M389" s="50"/>
      <c r="N389" s="7"/>
      <c r="O389" s="51">
        <f t="shared" si="65"/>
        <v>0</v>
      </c>
      <c r="P389" s="129"/>
      <c r="Q389" s="127">
        <f>O389+P389</f>
        <v>0</v>
      </c>
    </row>
    <row r="390" spans="1:17" ht="12.75" hidden="1">
      <c r="A390" s="70" t="s">
        <v>202</v>
      </c>
      <c r="B390" s="165"/>
      <c r="C390" s="184"/>
      <c r="D390" s="182"/>
      <c r="E390" s="182"/>
      <c r="F390" s="183">
        <f t="shared" si="62"/>
        <v>0</v>
      </c>
      <c r="G390" s="228"/>
      <c r="H390" s="7"/>
      <c r="I390" s="51">
        <f t="shared" si="63"/>
        <v>0</v>
      </c>
      <c r="J390" s="65"/>
      <c r="K390" s="7"/>
      <c r="L390" s="51">
        <f t="shared" si="64"/>
        <v>0</v>
      </c>
      <c r="M390" s="50"/>
      <c r="N390" s="7"/>
      <c r="O390" s="51">
        <f t="shared" si="65"/>
        <v>0</v>
      </c>
      <c r="P390" s="129"/>
      <c r="Q390" s="127">
        <f>O390+P390</f>
        <v>0</v>
      </c>
    </row>
    <row r="391" spans="1:17" ht="12.75">
      <c r="A391" s="70" t="s">
        <v>324</v>
      </c>
      <c r="B391" s="272" t="s">
        <v>325</v>
      </c>
      <c r="C391" s="184"/>
      <c r="D391" s="182">
        <v>728.31</v>
      </c>
      <c r="E391" s="182"/>
      <c r="F391" s="183">
        <f t="shared" si="62"/>
        <v>728.31</v>
      </c>
      <c r="G391" s="228"/>
      <c r="H391" s="7"/>
      <c r="I391" s="51"/>
      <c r="J391" s="65"/>
      <c r="K391" s="7"/>
      <c r="L391" s="51"/>
      <c r="M391" s="50"/>
      <c r="N391" s="7"/>
      <c r="O391" s="51"/>
      <c r="P391" s="129"/>
      <c r="Q391" s="127"/>
    </row>
    <row r="392" spans="1:17" ht="12.75">
      <c r="A392" s="70" t="s">
        <v>323</v>
      </c>
      <c r="B392" s="165">
        <v>33064</v>
      </c>
      <c r="C392" s="184"/>
      <c r="D392" s="182">
        <v>363.12</v>
      </c>
      <c r="E392" s="182"/>
      <c r="F392" s="183">
        <f t="shared" si="62"/>
        <v>363.12</v>
      </c>
      <c r="G392" s="228"/>
      <c r="H392" s="7"/>
      <c r="I392" s="51"/>
      <c r="J392" s="65"/>
      <c r="K392" s="7"/>
      <c r="L392" s="51"/>
      <c r="M392" s="50"/>
      <c r="N392" s="7"/>
      <c r="O392" s="51"/>
      <c r="P392" s="129"/>
      <c r="Q392" s="127"/>
    </row>
    <row r="393" spans="1:17" ht="12.75">
      <c r="A393" s="76" t="s">
        <v>67</v>
      </c>
      <c r="B393" s="169"/>
      <c r="C393" s="191">
        <f>SUM(C395:C401)</f>
        <v>1500</v>
      </c>
      <c r="D393" s="192">
        <f>SUM(D395:D401)</f>
        <v>0</v>
      </c>
      <c r="E393" s="192">
        <f>SUM(E395:E401)</f>
        <v>0</v>
      </c>
      <c r="F393" s="193">
        <f>SUM(F395:F401)</f>
        <v>1500</v>
      </c>
      <c r="G393" s="231"/>
      <c r="H393" s="12"/>
      <c r="I393" s="59">
        <f>SUM(I395:I401)</f>
        <v>1500</v>
      </c>
      <c r="J393" s="58"/>
      <c r="K393" s="12"/>
      <c r="L393" s="59">
        <f>SUM(L395:L401)</f>
        <v>1500</v>
      </c>
      <c r="M393" s="58"/>
      <c r="N393" s="12"/>
      <c r="O393" s="59">
        <f>SUM(O395:O401)</f>
        <v>1500</v>
      </c>
      <c r="P393" s="134"/>
      <c r="Q393" s="108">
        <f>SUM(Q395:Q401)</f>
        <v>1500</v>
      </c>
    </row>
    <row r="394" spans="1:17" ht="12.75">
      <c r="A394" s="72" t="s">
        <v>33</v>
      </c>
      <c r="B394" s="165"/>
      <c r="C394" s="184"/>
      <c r="D394" s="182"/>
      <c r="E394" s="182"/>
      <c r="F394" s="183"/>
      <c r="G394" s="228"/>
      <c r="H394" s="7"/>
      <c r="I394" s="51"/>
      <c r="J394" s="50"/>
      <c r="K394" s="7"/>
      <c r="L394" s="51"/>
      <c r="M394" s="50"/>
      <c r="N394" s="7"/>
      <c r="O394" s="51"/>
      <c r="P394" s="129"/>
      <c r="Q394" s="127"/>
    </row>
    <row r="395" spans="1:17" ht="12.75" hidden="1">
      <c r="A395" s="74" t="s">
        <v>83</v>
      </c>
      <c r="B395" s="165"/>
      <c r="C395" s="184"/>
      <c r="D395" s="182"/>
      <c r="E395" s="182"/>
      <c r="F395" s="183">
        <f aca="true" t="shared" si="66" ref="F395:F401">C395+D395+E395</f>
        <v>0</v>
      </c>
      <c r="G395" s="228"/>
      <c r="H395" s="7"/>
      <c r="I395" s="51">
        <f>F395+G395+H395</f>
        <v>0</v>
      </c>
      <c r="J395" s="50"/>
      <c r="K395" s="7"/>
      <c r="L395" s="51">
        <f>I395+J395+K395</f>
        <v>0</v>
      </c>
      <c r="M395" s="50"/>
      <c r="N395" s="7"/>
      <c r="O395" s="51">
        <f>L395+M395+N395</f>
        <v>0</v>
      </c>
      <c r="P395" s="129"/>
      <c r="Q395" s="127">
        <f>O395+P395</f>
        <v>0</v>
      </c>
    </row>
    <row r="396" spans="1:17" ht="12.75" hidden="1">
      <c r="A396" s="74" t="s">
        <v>254</v>
      </c>
      <c r="B396" s="165"/>
      <c r="C396" s="184"/>
      <c r="D396" s="182"/>
      <c r="E396" s="182"/>
      <c r="F396" s="183">
        <f t="shared" si="66"/>
        <v>0</v>
      </c>
      <c r="G396" s="228"/>
      <c r="H396" s="7"/>
      <c r="I396" s="51"/>
      <c r="J396" s="50"/>
      <c r="K396" s="7"/>
      <c r="L396" s="51"/>
      <c r="M396" s="50"/>
      <c r="N396" s="7"/>
      <c r="O396" s="51"/>
      <c r="P396" s="129"/>
      <c r="Q396" s="127"/>
    </row>
    <row r="397" spans="1:17" ht="12.75" hidden="1">
      <c r="A397" s="74" t="s">
        <v>255</v>
      </c>
      <c r="B397" s="165"/>
      <c r="C397" s="184"/>
      <c r="D397" s="182"/>
      <c r="E397" s="182"/>
      <c r="F397" s="183">
        <f t="shared" si="66"/>
        <v>0</v>
      </c>
      <c r="G397" s="228"/>
      <c r="H397" s="7"/>
      <c r="I397" s="51"/>
      <c r="J397" s="50"/>
      <c r="K397" s="7"/>
      <c r="L397" s="51"/>
      <c r="M397" s="50"/>
      <c r="N397" s="7"/>
      <c r="O397" s="51"/>
      <c r="P397" s="129"/>
      <c r="Q397" s="127"/>
    </row>
    <row r="398" spans="1:17" ht="12.75" hidden="1">
      <c r="A398" s="74" t="s">
        <v>240</v>
      </c>
      <c r="B398" s="165"/>
      <c r="C398" s="184"/>
      <c r="D398" s="182"/>
      <c r="E398" s="182"/>
      <c r="F398" s="183">
        <f t="shared" si="66"/>
        <v>0</v>
      </c>
      <c r="G398" s="228"/>
      <c r="H398" s="7"/>
      <c r="I398" s="51"/>
      <c r="J398" s="50"/>
      <c r="K398" s="7"/>
      <c r="L398" s="51"/>
      <c r="M398" s="50"/>
      <c r="N398" s="7"/>
      <c r="O398" s="51"/>
      <c r="P398" s="129"/>
      <c r="Q398" s="127"/>
    </row>
    <row r="399" spans="1:17" ht="12.75">
      <c r="A399" s="73" t="s">
        <v>68</v>
      </c>
      <c r="B399" s="168"/>
      <c r="C399" s="194">
        <v>1500</v>
      </c>
      <c r="D399" s="195"/>
      <c r="E399" s="195"/>
      <c r="F399" s="246">
        <f t="shared" si="66"/>
        <v>1500</v>
      </c>
      <c r="G399" s="228"/>
      <c r="H399" s="7"/>
      <c r="I399" s="51">
        <f>F399+G399+H399</f>
        <v>1500</v>
      </c>
      <c r="J399" s="50"/>
      <c r="K399" s="7"/>
      <c r="L399" s="51">
        <f>I399+J399+K399</f>
        <v>1500</v>
      </c>
      <c r="M399" s="50"/>
      <c r="N399" s="7"/>
      <c r="O399" s="51">
        <f>L399+M399+N399</f>
        <v>1500</v>
      </c>
      <c r="P399" s="129"/>
      <c r="Q399" s="127">
        <f>O399+P399</f>
        <v>1500</v>
      </c>
    </row>
    <row r="400" spans="1:17" ht="12.75" hidden="1">
      <c r="A400" s="70" t="s">
        <v>94</v>
      </c>
      <c r="B400" s="165"/>
      <c r="C400" s="184"/>
      <c r="D400" s="182"/>
      <c r="E400" s="182"/>
      <c r="F400" s="183">
        <f t="shared" si="66"/>
        <v>0</v>
      </c>
      <c r="G400" s="228"/>
      <c r="H400" s="7"/>
      <c r="I400" s="51">
        <f>F400+G400+H400</f>
        <v>0</v>
      </c>
      <c r="J400" s="50"/>
      <c r="K400" s="7"/>
      <c r="L400" s="51">
        <f>I400+J400+K400</f>
        <v>0</v>
      </c>
      <c r="M400" s="50"/>
      <c r="N400" s="7"/>
      <c r="O400" s="51">
        <f>L400+M400+N400</f>
        <v>0</v>
      </c>
      <c r="P400" s="129"/>
      <c r="Q400" s="127">
        <f>O400+P400</f>
        <v>0</v>
      </c>
    </row>
    <row r="401" spans="1:17" ht="12.75" hidden="1">
      <c r="A401" s="80" t="s">
        <v>241</v>
      </c>
      <c r="B401" s="168"/>
      <c r="C401" s="194"/>
      <c r="D401" s="195"/>
      <c r="E401" s="195"/>
      <c r="F401" s="246">
        <f t="shared" si="66"/>
        <v>0</v>
      </c>
      <c r="G401" s="16"/>
      <c r="H401" s="10"/>
      <c r="I401" s="55">
        <f>F401+G401+H401</f>
        <v>0</v>
      </c>
      <c r="J401" s="54"/>
      <c r="K401" s="10"/>
      <c r="L401" s="55">
        <f>I401+J401+K401</f>
        <v>0</v>
      </c>
      <c r="M401" s="54"/>
      <c r="N401" s="10"/>
      <c r="O401" s="55">
        <f>L401+M401+N401</f>
        <v>0</v>
      </c>
      <c r="P401" s="142"/>
      <c r="Q401" s="143">
        <f>O401+P401</f>
        <v>0</v>
      </c>
    </row>
    <row r="402" spans="1:17" ht="12.75">
      <c r="A402" s="67" t="s">
        <v>121</v>
      </c>
      <c r="B402" s="169"/>
      <c r="C402" s="179">
        <f aca="true" t="shared" si="67" ref="C402:O402">C403+C406</f>
        <v>3304.9</v>
      </c>
      <c r="D402" s="180">
        <f t="shared" si="67"/>
        <v>0</v>
      </c>
      <c r="E402" s="180">
        <f>E403+E406</f>
        <v>0</v>
      </c>
      <c r="F402" s="181">
        <f t="shared" si="67"/>
        <v>3304.9</v>
      </c>
      <c r="G402" s="227"/>
      <c r="H402" s="6"/>
      <c r="I402" s="49">
        <f t="shared" si="67"/>
        <v>3304.9</v>
      </c>
      <c r="J402" s="48"/>
      <c r="K402" s="6"/>
      <c r="L402" s="49">
        <f t="shared" si="67"/>
        <v>3304.9</v>
      </c>
      <c r="M402" s="48"/>
      <c r="N402" s="6"/>
      <c r="O402" s="49">
        <f t="shared" si="67"/>
        <v>3304.9</v>
      </c>
      <c r="P402" s="130"/>
      <c r="Q402" s="107">
        <f>Q403+Q406</f>
        <v>3304.9</v>
      </c>
    </row>
    <row r="403" spans="1:17" ht="12.75">
      <c r="A403" s="76" t="s">
        <v>62</v>
      </c>
      <c r="B403" s="169"/>
      <c r="C403" s="191">
        <f>SUM(C405:C405)</f>
        <v>3304.9</v>
      </c>
      <c r="D403" s="192">
        <f>SUM(D405:D405)</f>
        <v>0</v>
      </c>
      <c r="E403" s="192">
        <f>SUM(E405:E405)</f>
        <v>0</v>
      </c>
      <c r="F403" s="193">
        <f>SUM(F405:F405)</f>
        <v>3304.9</v>
      </c>
      <c r="G403" s="231"/>
      <c r="H403" s="12"/>
      <c r="I403" s="59">
        <f>SUM(I405:I405)</f>
        <v>3304.9</v>
      </c>
      <c r="J403" s="58"/>
      <c r="K403" s="12"/>
      <c r="L403" s="59">
        <f>SUM(L405:L405)</f>
        <v>3304.9</v>
      </c>
      <c r="M403" s="58"/>
      <c r="N403" s="12"/>
      <c r="O403" s="59">
        <f>SUM(O405:O405)</f>
        <v>3304.9</v>
      </c>
      <c r="P403" s="134"/>
      <c r="Q403" s="108">
        <f>SUM(Q405:Q405)</f>
        <v>3304.9</v>
      </c>
    </row>
    <row r="404" spans="1:17" ht="12.75">
      <c r="A404" s="72" t="s">
        <v>33</v>
      </c>
      <c r="B404" s="165"/>
      <c r="C404" s="184"/>
      <c r="D404" s="182"/>
      <c r="E404" s="182"/>
      <c r="F404" s="181"/>
      <c r="G404" s="228"/>
      <c r="H404" s="7"/>
      <c r="I404" s="49"/>
      <c r="J404" s="50"/>
      <c r="K404" s="7"/>
      <c r="L404" s="49"/>
      <c r="M404" s="50"/>
      <c r="N404" s="7"/>
      <c r="O404" s="49"/>
      <c r="P404" s="129"/>
      <c r="Q404" s="127"/>
    </row>
    <row r="405" spans="1:17" ht="12.75">
      <c r="A405" s="73" t="s">
        <v>64</v>
      </c>
      <c r="B405" s="168"/>
      <c r="C405" s="201">
        <v>3304.9</v>
      </c>
      <c r="D405" s="195"/>
      <c r="E405" s="195"/>
      <c r="F405" s="246">
        <f>C405+D405+E405</f>
        <v>3304.9</v>
      </c>
      <c r="G405" s="228"/>
      <c r="H405" s="7"/>
      <c r="I405" s="51">
        <f>F405+G405+H405</f>
        <v>3304.9</v>
      </c>
      <c r="J405" s="50"/>
      <c r="K405" s="7"/>
      <c r="L405" s="51">
        <f>I405+J405+K405</f>
        <v>3304.9</v>
      </c>
      <c r="M405" s="50"/>
      <c r="N405" s="7"/>
      <c r="O405" s="51">
        <f>L405+M405+N405</f>
        <v>3304.9</v>
      </c>
      <c r="P405" s="129"/>
      <c r="Q405" s="127">
        <f>O405+P405</f>
        <v>3304.9</v>
      </c>
    </row>
    <row r="406" spans="1:17" ht="12.75" hidden="1">
      <c r="A406" s="76" t="s">
        <v>67</v>
      </c>
      <c r="B406" s="169"/>
      <c r="C406" s="191">
        <f aca="true" t="shared" si="68" ref="C406:O406">SUM(C408:C408)</f>
        <v>0</v>
      </c>
      <c r="D406" s="192">
        <f t="shared" si="68"/>
        <v>0</v>
      </c>
      <c r="E406" s="192">
        <f>SUM(E408:E408)</f>
        <v>0</v>
      </c>
      <c r="F406" s="193">
        <f t="shared" si="68"/>
        <v>0</v>
      </c>
      <c r="G406" s="231"/>
      <c r="H406" s="12"/>
      <c r="I406" s="59">
        <f t="shared" si="68"/>
        <v>0</v>
      </c>
      <c r="J406" s="58"/>
      <c r="K406" s="12"/>
      <c r="L406" s="59">
        <f t="shared" si="68"/>
        <v>0</v>
      </c>
      <c r="M406" s="58"/>
      <c r="N406" s="12"/>
      <c r="O406" s="59">
        <f t="shared" si="68"/>
        <v>0</v>
      </c>
      <c r="P406" s="129"/>
      <c r="Q406" s="127">
        <f>O406+P406</f>
        <v>0</v>
      </c>
    </row>
    <row r="407" spans="1:17" ht="12.75" hidden="1">
      <c r="A407" s="72" t="s">
        <v>33</v>
      </c>
      <c r="B407" s="165"/>
      <c r="C407" s="184"/>
      <c r="D407" s="182"/>
      <c r="E407" s="182"/>
      <c r="F407" s="183"/>
      <c r="G407" s="228"/>
      <c r="H407" s="7"/>
      <c r="I407" s="51"/>
      <c r="J407" s="50"/>
      <c r="K407" s="7"/>
      <c r="L407" s="51"/>
      <c r="M407" s="50"/>
      <c r="N407" s="7"/>
      <c r="O407" s="51"/>
      <c r="P407" s="129"/>
      <c r="Q407" s="127"/>
    </row>
    <row r="408" spans="1:17" ht="12.75" hidden="1">
      <c r="A408" s="73" t="s">
        <v>68</v>
      </c>
      <c r="B408" s="168"/>
      <c r="C408" s="194"/>
      <c r="D408" s="195"/>
      <c r="E408" s="195"/>
      <c r="F408" s="246">
        <f>C408+D408+E408</f>
        <v>0</v>
      </c>
      <c r="G408" s="16"/>
      <c r="H408" s="10"/>
      <c r="I408" s="55">
        <f>F408+G408+H408</f>
        <v>0</v>
      </c>
      <c r="J408" s="54"/>
      <c r="K408" s="10"/>
      <c r="L408" s="115">
        <f>I408+J408+K408</f>
        <v>0</v>
      </c>
      <c r="M408" s="54"/>
      <c r="N408" s="10"/>
      <c r="O408" s="55">
        <f>L408+M408+N408</f>
        <v>0</v>
      </c>
      <c r="P408" s="142"/>
      <c r="Q408" s="143">
        <f>O408+P408</f>
        <v>0</v>
      </c>
    </row>
    <row r="409" spans="1:17" ht="12.75">
      <c r="A409" s="67" t="s">
        <v>122</v>
      </c>
      <c r="B409" s="169"/>
      <c r="C409" s="179">
        <f aca="true" t="shared" si="69" ref="C409:Q409">C410</f>
        <v>57799.6</v>
      </c>
      <c r="D409" s="180">
        <f t="shared" si="69"/>
        <v>22112.02</v>
      </c>
      <c r="E409" s="180">
        <f t="shared" si="69"/>
        <v>0</v>
      </c>
      <c r="F409" s="181">
        <f t="shared" si="69"/>
        <v>79911.62</v>
      </c>
      <c r="G409" s="227"/>
      <c r="H409" s="6"/>
      <c r="I409" s="49">
        <f t="shared" si="69"/>
        <v>79911.62</v>
      </c>
      <c r="J409" s="48"/>
      <c r="K409" s="6"/>
      <c r="L409" s="107">
        <f t="shared" si="69"/>
        <v>79911.62</v>
      </c>
      <c r="M409" s="48"/>
      <c r="N409" s="6"/>
      <c r="O409" s="49">
        <f t="shared" si="69"/>
        <v>79911.62</v>
      </c>
      <c r="P409" s="130"/>
      <c r="Q409" s="107">
        <f t="shared" si="69"/>
        <v>79911.62</v>
      </c>
    </row>
    <row r="410" spans="1:17" ht="12.75">
      <c r="A410" s="76" t="s">
        <v>62</v>
      </c>
      <c r="B410" s="169"/>
      <c r="C410" s="191">
        <f>SUM(C412:C415)</f>
        <v>57799.6</v>
      </c>
      <c r="D410" s="192">
        <f>SUM(D412:D415)</f>
        <v>22112.02</v>
      </c>
      <c r="E410" s="192">
        <f>SUM(E412:E415)</f>
        <v>0</v>
      </c>
      <c r="F410" s="193">
        <f>SUM(F412:F415)</f>
        <v>79911.62</v>
      </c>
      <c r="G410" s="231"/>
      <c r="H410" s="12"/>
      <c r="I410" s="59">
        <f>SUM(I412:I415)</f>
        <v>79911.62</v>
      </c>
      <c r="J410" s="58"/>
      <c r="K410" s="12"/>
      <c r="L410" s="108">
        <f>SUM(L412:L415)</f>
        <v>79911.62</v>
      </c>
      <c r="M410" s="58"/>
      <c r="N410" s="12"/>
      <c r="O410" s="59">
        <f>SUM(O412:O415)</f>
        <v>79911.62</v>
      </c>
      <c r="P410" s="134"/>
      <c r="Q410" s="108">
        <f>SUM(Q412:Q415)</f>
        <v>79911.62</v>
      </c>
    </row>
    <row r="411" spans="1:17" ht="12.75">
      <c r="A411" s="72" t="s">
        <v>33</v>
      </c>
      <c r="B411" s="165"/>
      <c r="C411" s="179"/>
      <c r="D411" s="180"/>
      <c r="E411" s="180"/>
      <c r="F411" s="181"/>
      <c r="G411" s="227"/>
      <c r="H411" s="6"/>
      <c r="I411" s="49"/>
      <c r="J411" s="48"/>
      <c r="K411" s="6"/>
      <c r="L411" s="107"/>
      <c r="M411" s="48"/>
      <c r="N411" s="6"/>
      <c r="O411" s="49"/>
      <c r="P411" s="129"/>
      <c r="Q411" s="127"/>
    </row>
    <row r="412" spans="1:17" ht="12.75">
      <c r="A412" s="166" t="s">
        <v>256</v>
      </c>
      <c r="B412" s="165"/>
      <c r="C412" s="184">
        <v>15048.4</v>
      </c>
      <c r="D412" s="182"/>
      <c r="E412" s="182"/>
      <c r="F412" s="183">
        <f>C412+D412+E412</f>
        <v>15048.4</v>
      </c>
      <c r="G412" s="228"/>
      <c r="H412" s="7"/>
      <c r="I412" s="51">
        <f>F412+G412+H412</f>
        <v>15048.4</v>
      </c>
      <c r="J412" s="65"/>
      <c r="K412" s="7"/>
      <c r="L412" s="116">
        <f>I412+J412+K412</f>
        <v>15048.4</v>
      </c>
      <c r="M412" s="50"/>
      <c r="N412" s="7"/>
      <c r="O412" s="51">
        <f>L412+M412+N412</f>
        <v>15048.4</v>
      </c>
      <c r="P412" s="129"/>
      <c r="Q412" s="127">
        <f>O412+P412</f>
        <v>15048.4</v>
      </c>
    </row>
    <row r="413" spans="1:17" ht="12.75">
      <c r="A413" s="79" t="s">
        <v>123</v>
      </c>
      <c r="B413" s="165"/>
      <c r="C413" s="184"/>
      <c r="D413" s="199">
        <f>21194.74</f>
        <v>21194.74</v>
      </c>
      <c r="E413" s="182"/>
      <c r="F413" s="183">
        <f>C413+D413+E413</f>
        <v>21194.74</v>
      </c>
      <c r="G413" s="228"/>
      <c r="H413" s="7"/>
      <c r="I413" s="51">
        <f>F413+G413+H413</f>
        <v>21194.74</v>
      </c>
      <c r="J413" s="50"/>
      <c r="K413" s="7"/>
      <c r="L413" s="116">
        <f>I413+J413+K413</f>
        <v>21194.74</v>
      </c>
      <c r="M413" s="50"/>
      <c r="N413" s="7"/>
      <c r="O413" s="51">
        <f>L413+M413+N413</f>
        <v>21194.74</v>
      </c>
      <c r="P413" s="129"/>
      <c r="Q413" s="127">
        <f>O413+P413</f>
        <v>21194.74</v>
      </c>
    </row>
    <row r="414" spans="1:17" ht="12.75">
      <c r="A414" s="79" t="s">
        <v>124</v>
      </c>
      <c r="B414" s="165"/>
      <c r="C414" s="184"/>
      <c r="D414" s="182">
        <f>917.28</f>
        <v>917.28</v>
      </c>
      <c r="E414" s="182"/>
      <c r="F414" s="183">
        <f>C414+D414+E414</f>
        <v>917.28</v>
      </c>
      <c r="G414" s="228"/>
      <c r="H414" s="7"/>
      <c r="I414" s="51">
        <f>F414+G414+H414</f>
        <v>917.28</v>
      </c>
      <c r="J414" s="50"/>
      <c r="K414" s="7"/>
      <c r="L414" s="51">
        <f>I414+J414+K414</f>
        <v>917.28</v>
      </c>
      <c r="M414" s="50"/>
      <c r="N414" s="7"/>
      <c r="O414" s="51">
        <f>L414+M414+N414</f>
        <v>917.28</v>
      </c>
      <c r="P414" s="129"/>
      <c r="Q414" s="127">
        <f>O414+P414</f>
        <v>917.28</v>
      </c>
    </row>
    <row r="415" spans="1:17" ht="12.75">
      <c r="A415" s="73" t="s">
        <v>64</v>
      </c>
      <c r="B415" s="168"/>
      <c r="C415" s="194">
        <v>42751.2</v>
      </c>
      <c r="D415" s="195"/>
      <c r="E415" s="195"/>
      <c r="F415" s="246">
        <f>C415+D415+E415</f>
        <v>42751.2</v>
      </c>
      <c r="G415" s="16"/>
      <c r="H415" s="10"/>
      <c r="I415" s="55">
        <f>F415+G415+H415</f>
        <v>42751.2</v>
      </c>
      <c r="J415" s="54"/>
      <c r="K415" s="10"/>
      <c r="L415" s="55">
        <f>I415+J415+K415</f>
        <v>42751.2</v>
      </c>
      <c r="M415" s="54"/>
      <c r="N415" s="10"/>
      <c r="O415" s="55">
        <f>L415+M415+N415</f>
        <v>42751.2</v>
      </c>
      <c r="P415" s="142"/>
      <c r="Q415" s="143">
        <f>O415+P415</f>
        <v>42751.2</v>
      </c>
    </row>
    <row r="416" spans="1:17" ht="12.75">
      <c r="A416" s="67" t="s">
        <v>213</v>
      </c>
      <c r="B416" s="169"/>
      <c r="C416" s="179">
        <f>C417+C431</f>
        <v>95919.4</v>
      </c>
      <c r="D416" s="180">
        <f>D417+D431</f>
        <v>79342.31</v>
      </c>
      <c r="E416" s="180">
        <f>E417+E431</f>
        <v>0</v>
      </c>
      <c r="F416" s="181">
        <f>F417+F431</f>
        <v>175261.71</v>
      </c>
      <c r="G416" s="145"/>
      <c r="H416" s="7"/>
      <c r="I416" s="51"/>
      <c r="J416" s="50"/>
      <c r="K416" s="7"/>
      <c r="L416" s="51"/>
      <c r="M416" s="50"/>
      <c r="N416" s="7"/>
      <c r="O416" s="51"/>
      <c r="P416" s="129"/>
      <c r="Q416" s="127"/>
    </row>
    <row r="417" spans="1:17" ht="12.75">
      <c r="A417" s="76" t="s">
        <v>62</v>
      </c>
      <c r="B417" s="169"/>
      <c r="C417" s="191">
        <f>SUM(C418:C430)</f>
        <v>60419.399999999994</v>
      </c>
      <c r="D417" s="192">
        <f>SUM(D418:D430)</f>
        <v>38936.310000000005</v>
      </c>
      <c r="E417" s="192">
        <f>SUM(E418:E429)</f>
        <v>2938.1</v>
      </c>
      <c r="F417" s="193">
        <f>SUM(F418:F430)</f>
        <v>102293.81</v>
      </c>
      <c r="G417" s="145"/>
      <c r="H417" s="7"/>
      <c r="I417" s="51"/>
      <c r="J417" s="50"/>
      <c r="K417" s="7"/>
      <c r="L417" s="51"/>
      <c r="M417" s="50"/>
      <c r="N417" s="7"/>
      <c r="O417" s="51"/>
      <c r="P417" s="129"/>
      <c r="Q417" s="127"/>
    </row>
    <row r="418" spans="1:17" ht="12.75">
      <c r="A418" s="70" t="s">
        <v>246</v>
      </c>
      <c r="B418" s="165">
        <v>1202</v>
      </c>
      <c r="C418" s="184">
        <v>6725</v>
      </c>
      <c r="D418" s="182">
        <f>486.88</f>
        <v>486.88</v>
      </c>
      <c r="E418" s="182"/>
      <c r="F418" s="183">
        <f aca="true" t="shared" si="70" ref="F418:F430">C418+D418+E418</f>
        <v>7211.88</v>
      </c>
      <c r="G418" s="145"/>
      <c r="H418" s="7"/>
      <c r="I418" s="51"/>
      <c r="J418" s="50"/>
      <c r="K418" s="7"/>
      <c r="L418" s="51"/>
      <c r="M418" s="50"/>
      <c r="N418" s="7"/>
      <c r="O418" s="51"/>
      <c r="P418" s="129"/>
      <c r="Q418" s="127"/>
    </row>
    <row r="419" spans="1:17" ht="12.75">
      <c r="A419" s="70" t="s">
        <v>247</v>
      </c>
      <c r="B419" s="165">
        <v>1208</v>
      </c>
      <c r="C419" s="184">
        <v>2500</v>
      </c>
      <c r="D419" s="182">
        <f>2</f>
        <v>2</v>
      </c>
      <c r="E419" s="182"/>
      <c r="F419" s="183">
        <f t="shared" si="70"/>
        <v>2502</v>
      </c>
      <c r="G419" s="145"/>
      <c r="H419" s="7"/>
      <c r="I419" s="51"/>
      <c r="J419" s="50"/>
      <c r="K419" s="7"/>
      <c r="L419" s="51"/>
      <c r="M419" s="50"/>
      <c r="N419" s="7"/>
      <c r="O419" s="51"/>
      <c r="P419" s="129"/>
      <c r="Q419" s="127"/>
    </row>
    <row r="420" spans="1:17" ht="12.75">
      <c r="A420" s="70" t="s">
        <v>248</v>
      </c>
      <c r="B420" s="165">
        <v>1207</v>
      </c>
      <c r="C420" s="184">
        <v>5420</v>
      </c>
      <c r="D420" s="182">
        <f>198.64</f>
        <v>198.64</v>
      </c>
      <c r="E420" s="182"/>
      <c r="F420" s="183">
        <f t="shared" si="70"/>
        <v>5618.64</v>
      </c>
      <c r="G420" s="145"/>
      <c r="H420" s="7"/>
      <c r="I420" s="51"/>
      <c r="J420" s="50"/>
      <c r="K420" s="7"/>
      <c r="L420" s="51"/>
      <c r="M420" s="50"/>
      <c r="N420" s="7"/>
      <c r="O420" s="51"/>
      <c r="P420" s="129"/>
      <c r="Q420" s="127"/>
    </row>
    <row r="421" spans="1:17" ht="12.75">
      <c r="A421" s="70" t="s">
        <v>290</v>
      </c>
      <c r="B421" s="165">
        <v>1209</v>
      </c>
      <c r="C421" s="184">
        <v>3460</v>
      </c>
      <c r="D421" s="182">
        <f>59.69</f>
        <v>59.69</v>
      </c>
      <c r="E421" s="182"/>
      <c r="F421" s="183">
        <f t="shared" si="70"/>
        <v>3519.69</v>
      </c>
      <c r="G421" s="145"/>
      <c r="H421" s="7"/>
      <c r="I421" s="51"/>
      <c r="J421" s="50"/>
      <c r="K421" s="7"/>
      <c r="L421" s="51"/>
      <c r="M421" s="50"/>
      <c r="N421" s="7"/>
      <c r="O421" s="51"/>
      <c r="P421" s="129"/>
      <c r="Q421" s="127"/>
    </row>
    <row r="422" spans="1:17" ht="12.75">
      <c r="A422" s="70" t="s">
        <v>249</v>
      </c>
      <c r="B422" s="165">
        <v>1211</v>
      </c>
      <c r="C422" s="184">
        <v>4279</v>
      </c>
      <c r="D422" s="199">
        <f>2.81</f>
        <v>2.81</v>
      </c>
      <c r="E422" s="199"/>
      <c r="F422" s="183">
        <f t="shared" si="70"/>
        <v>4281.81</v>
      </c>
      <c r="G422" s="145"/>
      <c r="H422" s="7"/>
      <c r="I422" s="51"/>
      <c r="J422" s="50"/>
      <c r="K422" s="7"/>
      <c r="L422" s="51"/>
      <c r="M422" s="50"/>
      <c r="N422" s="7"/>
      <c r="O422" s="51"/>
      <c r="P422" s="129"/>
      <c r="Q422" s="127"/>
    </row>
    <row r="423" spans="1:17" ht="12.75">
      <c r="A423" s="70" t="s">
        <v>278</v>
      </c>
      <c r="B423" s="165">
        <v>1214</v>
      </c>
      <c r="C423" s="184">
        <v>1050</v>
      </c>
      <c r="D423" s="182">
        <v>-1050</v>
      </c>
      <c r="E423" s="182"/>
      <c r="F423" s="183">
        <f t="shared" si="70"/>
        <v>0</v>
      </c>
      <c r="G423" s="145"/>
      <c r="H423" s="7"/>
      <c r="I423" s="51"/>
      <c r="J423" s="50"/>
      <c r="K423" s="7"/>
      <c r="L423" s="51"/>
      <c r="M423" s="50"/>
      <c r="N423" s="7"/>
      <c r="O423" s="51"/>
      <c r="P423" s="129"/>
      <c r="Q423" s="127"/>
    </row>
    <row r="424" spans="1:17" ht="12.75">
      <c r="A424" s="70" t="s">
        <v>334</v>
      </c>
      <c r="B424" s="165">
        <v>1214</v>
      </c>
      <c r="C424" s="184"/>
      <c r="D424" s="199">
        <f>409+21</f>
        <v>430</v>
      </c>
      <c r="E424" s="182"/>
      <c r="F424" s="183">
        <f t="shared" si="70"/>
        <v>430</v>
      </c>
      <c r="G424" s="145"/>
      <c r="H424" s="7"/>
      <c r="I424" s="51"/>
      <c r="J424" s="50"/>
      <c r="K424" s="7"/>
      <c r="L424" s="51"/>
      <c r="M424" s="50"/>
      <c r="N424" s="7"/>
      <c r="O424" s="51"/>
      <c r="P424" s="129"/>
      <c r="Q424" s="127"/>
    </row>
    <row r="425" spans="1:17" ht="12.75">
      <c r="A425" s="70" t="s">
        <v>335</v>
      </c>
      <c r="B425" s="165"/>
      <c r="C425" s="184"/>
      <c r="D425" s="199">
        <f>641+21.41</f>
        <v>662.41</v>
      </c>
      <c r="E425" s="182"/>
      <c r="F425" s="183">
        <f t="shared" si="70"/>
        <v>662.41</v>
      </c>
      <c r="G425" s="145"/>
      <c r="H425" s="7"/>
      <c r="I425" s="51"/>
      <c r="J425" s="50"/>
      <c r="K425" s="7"/>
      <c r="L425" s="51"/>
      <c r="M425" s="50"/>
      <c r="N425" s="7"/>
      <c r="O425" s="51"/>
      <c r="P425" s="129"/>
      <c r="Q425" s="127"/>
    </row>
    <row r="426" spans="1:17" ht="12.75">
      <c r="A426" s="70" t="s">
        <v>279</v>
      </c>
      <c r="B426" s="165">
        <v>1216</v>
      </c>
      <c r="C426" s="184">
        <v>9190</v>
      </c>
      <c r="D426" s="182">
        <f>2500+360.9</f>
        <v>2860.9</v>
      </c>
      <c r="E426" s="182"/>
      <c r="F426" s="183">
        <f t="shared" si="70"/>
        <v>12050.9</v>
      </c>
      <c r="G426" s="145"/>
      <c r="H426" s="7"/>
      <c r="I426" s="51"/>
      <c r="J426" s="50"/>
      <c r="K426" s="7"/>
      <c r="L426" s="51"/>
      <c r="M426" s="50"/>
      <c r="N426" s="7"/>
      <c r="O426" s="51"/>
      <c r="P426" s="129"/>
      <c r="Q426" s="127"/>
    </row>
    <row r="427" spans="1:17" ht="12.75">
      <c r="A427" s="70" t="s">
        <v>250</v>
      </c>
      <c r="B427" s="165">
        <v>1239</v>
      </c>
      <c r="C427" s="184">
        <v>5769.7</v>
      </c>
      <c r="D427" s="182">
        <f>1000+8267.76</f>
        <v>9267.76</v>
      </c>
      <c r="E427" s="182"/>
      <c r="F427" s="183">
        <f t="shared" si="70"/>
        <v>15037.46</v>
      </c>
      <c r="G427" s="145"/>
      <c r="H427" s="7"/>
      <c r="I427" s="51"/>
      <c r="J427" s="50"/>
      <c r="K427" s="7"/>
      <c r="L427" s="51"/>
      <c r="M427" s="50"/>
      <c r="N427" s="7"/>
      <c r="O427" s="51"/>
      <c r="P427" s="129"/>
      <c r="Q427" s="127"/>
    </row>
    <row r="428" spans="1:17" ht="12.75">
      <c r="A428" s="70" t="s">
        <v>280</v>
      </c>
      <c r="B428" s="165">
        <v>1300</v>
      </c>
      <c r="C428" s="184">
        <v>12025.7</v>
      </c>
      <c r="D428" s="182">
        <f>4603.13-200+15394</f>
        <v>19797.13</v>
      </c>
      <c r="E428" s="182"/>
      <c r="F428" s="183">
        <f t="shared" si="70"/>
        <v>31822.83</v>
      </c>
      <c r="G428" s="145"/>
      <c r="H428" s="7"/>
      <c r="I428" s="51"/>
      <c r="J428" s="50"/>
      <c r="K428" s="7"/>
      <c r="L428" s="51"/>
      <c r="M428" s="50"/>
      <c r="N428" s="7"/>
      <c r="O428" s="51"/>
      <c r="P428" s="129"/>
      <c r="Q428" s="127"/>
    </row>
    <row r="429" spans="1:17" ht="12.75">
      <c r="A429" s="70" t="s">
        <v>251</v>
      </c>
      <c r="B429" s="165">
        <v>1110</v>
      </c>
      <c r="C429" s="184">
        <v>10000</v>
      </c>
      <c r="D429" s="182">
        <f>6138.65</f>
        <v>6138.65</v>
      </c>
      <c r="E429" s="182">
        <v>2938.1</v>
      </c>
      <c r="F429" s="183">
        <f t="shared" si="70"/>
        <v>19076.75</v>
      </c>
      <c r="G429" s="145"/>
      <c r="H429" s="7"/>
      <c r="I429" s="51"/>
      <c r="J429" s="50"/>
      <c r="K429" s="7"/>
      <c r="L429" s="51"/>
      <c r="M429" s="50"/>
      <c r="N429" s="7"/>
      <c r="O429" s="51"/>
      <c r="P429" s="129"/>
      <c r="Q429" s="127"/>
    </row>
    <row r="430" spans="1:17" ht="12.75">
      <c r="A430" s="70" t="s">
        <v>64</v>
      </c>
      <c r="B430" s="165"/>
      <c r="C430" s="184"/>
      <c r="D430" s="182">
        <f>79.44</f>
        <v>79.44</v>
      </c>
      <c r="E430" s="182"/>
      <c r="F430" s="183">
        <f t="shared" si="70"/>
        <v>79.44</v>
      </c>
      <c r="G430" s="145"/>
      <c r="H430" s="7"/>
      <c r="I430" s="51"/>
      <c r="J430" s="50"/>
      <c r="K430" s="7"/>
      <c r="L430" s="51"/>
      <c r="M430" s="50"/>
      <c r="N430" s="7"/>
      <c r="O430" s="51"/>
      <c r="P430" s="129"/>
      <c r="Q430" s="127"/>
    </row>
    <row r="431" spans="1:17" ht="12.75">
      <c r="A431" s="76" t="s">
        <v>67</v>
      </c>
      <c r="B431" s="169"/>
      <c r="C431" s="191">
        <f>SUM(C433:C436)</f>
        <v>35500</v>
      </c>
      <c r="D431" s="192">
        <f>SUM(D433:D436)</f>
        <v>40406</v>
      </c>
      <c r="E431" s="192">
        <f>SUM(E436:E436)</f>
        <v>-2938.1</v>
      </c>
      <c r="F431" s="193">
        <f>SUM(F433:F436)</f>
        <v>72967.9</v>
      </c>
      <c r="G431" s="145"/>
      <c r="H431" s="7"/>
      <c r="I431" s="51"/>
      <c r="J431" s="50"/>
      <c r="K431" s="7"/>
      <c r="L431" s="51"/>
      <c r="M431" s="50"/>
      <c r="N431" s="7"/>
      <c r="O431" s="51"/>
      <c r="P431" s="129"/>
      <c r="Q431" s="127"/>
    </row>
    <row r="432" spans="1:17" ht="12.75">
      <c r="A432" s="72" t="s">
        <v>33</v>
      </c>
      <c r="B432" s="165"/>
      <c r="C432" s="184"/>
      <c r="D432" s="182"/>
      <c r="E432" s="182"/>
      <c r="F432" s="183"/>
      <c r="G432" s="145"/>
      <c r="H432" s="7"/>
      <c r="I432" s="51"/>
      <c r="J432" s="50"/>
      <c r="K432" s="7"/>
      <c r="L432" s="51"/>
      <c r="M432" s="50"/>
      <c r="N432" s="7"/>
      <c r="O432" s="51"/>
      <c r="P432" s="129"/>
      <c r="Q432" s="127"/>
    </row>
    <row r="433" spans="1:17" ht="12.75">
      <c r="A433" s="74" t="s">
        <v>269</v>
      </c>
      <c r="B433" s="165">
        <v>1239</v>
      </c>
      <c r="C433" s="184"/>
      <c r="D433" s="182">
        <f>7500+7500+16000</f>
        <v>31000</v>
      </c>
      <c r="E433" s="182"/>
      <c r="F433" s="183">
        <f>C433+D433+E433</f>
        <v>31000</v>
      </c>
      <c r="G433" s="145"/>
      <c r="H433" s="7"/>
      <c r="I433" s="51"/>
      <c r="J433" s="50"/>
      <c r="K433" s="7"/>
      <c r="L433" s="51"/>
      <c r="M433" s="50"/>
      <c r="N433" s="7"/>
      <c r="O433" s="51"/>
      <c r="P433" s="129"/>
      <c r="Q433" s="127"/>
    </row>
    <row r="434" spans="1:17" ht="12.75" hidden="1">
      <c r="A434" s="74" t="s">
        <v>136</v>
      </c>
      <c r="B434" s="165">
        <v>1214</v>
      </c>
      <c r="C434" s="184"/>
      <c r="D434" s="182"/>
      <c r="E434" s="182"/>
      <c r="F434" s="183">
        <f>C434+D434+E434</f>
        <v>0</v>
      </c>
      <c r="G434" s="145"/>
      <c r="H434" s="7"/>
      <c r="I434" s="51"/>
      <c r="J434" s="50"/>
      <c r="K434" s="7"/>
      <c r="L434" s="51"/>
      <c r="M434" s="50"/>
      <c r="N434" s="7"/>
      <c r="O434" s="51"/>
      <c r="P434" s="129"/>
      <c r="Q434" s="127"/>
    </row>
    <row r="435" spans="1:17" ht="12.75">
      <c r="A435" s="74" t="s">
        <v>288</v>
      </c>
      <c r="B435" s="165">
        <v>1300</v>
      </c>
      <c r="C435" s="184">
        <v>5500</v>
      </c>
      <c r="D435" s="182">
        <f>16306+50+550</f>
        <v>16906</v>
      </c>
      <c r="E435" s="182"/>
      <c r="F435" s="183">
        <f>C435+D435+E435</f>
        <v>22406</v>
      </c>
      <c r="G435" s="145"/>
      <c r="H435" s="7"/>
      <c r="I435" s="51"/>
      <c r="J435" s="50"/>
      <c r="K435" s="7"/>
      <c r="L435" s="51"/>
      <c r="M435" s="50"/>
      <c r="N435" s="7"/>
      <c r="O435" s="51"/>
      <c r="P435" s="129"/>
      <c r="Q435" s="127"/>
    </row>
    <row r="436" spans="1:17" ht="12.75">
      <c r="A436" s="73" t="s">
        <v>99</v>
      </c>
      <c r="B436" s="168">
        <v>1110</v>
      </c>
      <c r="C436" s="202">
        <v>30000</v>
      </c>
      <c r="D436" s="195">
        <f>-7500</f>
        <v>-7500</v>
      </c>
      <c r="E436" s="195">
        <v>-2938.1</v>
      </c>
      <c r="F436" s="246">
        <f>C436+D436+E436</f>
        <v>19561.9</v>
      </c>
      <c r="G436" s="145"/>
      <c r="H436" s="7"/>
      <c r="I436" s="51"/>
      <c r="J436" s="50"/>
      <c r="K436" s="7"/>
      <c r="L436" s="51"/>
      <c r="M436" s="50"/>
      <c r="N436" s="7"/>
      <c r="O436" s="51"/>
      <c r="P436" s="129"/>
      <c r="Q436" s="127"/>
    </row>
    <row r="437" spans="1:17" ht="12.75">
      <c r="A437" s="67" t="s">
        <v>170</v>
      </c>
      <c r="B437" s="169"/>
      <c r="C437" s="179">
        <f aca="true" t="shared" si="71" ref="C437:Q437">C438</f>
        <v>0</v>
      </c>
      <c r="D437" s="180">
        <f t="shared" si="71"/>
        <v>7279.26</v>
      </c>
      <c r="E437" s="180">
        <f t="shared" si="71"/>
        <v>0</v>
      </c>
      <c r="F437" s="181">
        <f t="shared" si="71"/>
        <v>7279.26</v>
      </c>
      <c r="G437" s="233"/>
      <c r="H437" s="6"/>
      <c r="I437" s="49">
        <f t="shared" si="71"/>
        <v>7279.26</v>
      </c>
      <c r="J437" s="48"/>
      <c r="K437" s="6"/>
      <c r="L437" s="49">
        <f t="shared" si="71"/>
        <v>7279.26</v>
      </c>
      <c r="M437" s="48"/>
      <c r="N437" s="6"/>
      <c r="O437" s="49">
        <f t="shared" si="71"/>
        <v>7279.26</v>
      </c>
      <c r="P437" s="130"/>
      <c r="Q437" s="107">
        <f t="shared" si="71"/>
        <v>7279.26</v>
      </c>
    </row>
    <row r="438" spans="1:17" ht="12.75">
      <c r="A438" s="76" t="s">
        <v>62</v>
      </c>
      <c r="B438" s="169"/>
      <c r="C438" s="191">
        <f aca="true" t="shared" si="72" ref="C438:O438">C440</f>
        <v>0</v>
      </c>
      <c r="D438" s="192">
        <f t="shared" si="72"/>
        <v>7279.26</v>
      </c>
      <c r="E438" s="192">
        <f>E440</f>
        <v>0</v>
      </c>
      <c r="F438" s="193">
        <f t="shared" si="72"/>
        <v>7279.26</v>
      </c>
      <c r="G438" s="234"/>
      <c r="H438" s="12"/>
      <c r="I438" s="59">
        <f t="shared" si="72"/>
        <v>7279.26</v>
      </c>
      <c r="J438" s="58"/>
      <c r="K438" s="12"/>
      <c r="L438" s="59">
        <f t="shared" si="72"/>
        <v>7279.26</v>
      </c>
      <c r="M438" s="58"/>
      <c r="N438" s="12"/>
      <c r="O438" s="59">
        <f t="shared" si="72"/>
        <v>7279.26</v>
      </c>
      <c r="P438" s="134"/>
      <c r="Q438" s="108">
        <f>Q440</f>
        <v>7279.26</v>
      </c>
    </row>
    <row r="439" spans="1:17" ht="12.75">
      <c r="A439" s="72" t="s">
        <v>33</v>
      </c>
      <c r="B439" s="165"/>
      <c r="C439" s="184"/>
      <c r="D439" s="182"/>
      <c r="E439" s="182"/>
      <c r="F439" s="183"/>
      <c r="G439" s="228"/>
      <c r="H439" s="7"/>
      <c r="I439" s="51"/>
      <c r="J439" s="50"/>
      <c r="K439" s="7"/>
      <c r="L439" s="51"/>
      <c r="M439" s="50"/>
      <c r="N439" s="7"/>
      <c r="O439" s="51"/>
      <c r="P439" s="129"/>
      <c r="Q439" s="127"/>
    </row>
    <row r="440" spans="1:17" ht="12.75">
      <c r="A440" s="73" t="s">
        <v>64</v>
      </c>
      <c r="B440" s="168"/>
      <c r="C440" s="194">
        <v>0</v>
      </c>
      <c r="D440" s="195">
        <f>7279.26</f>
        <v>7279.26</v>
      </c>
      <c r="E440" s="195"/>
      <c r="F440" s="183">
        <f>C440+D440+E440</f>
        <v>7279.26</v>
      </c>
      <c r="G440" s="16"/>
      <c r="H440" s="10"/>
      <c r="I440" s="55">
        <f>F440+G440+H440</f>
        <v>7279.26</v>
      </c>
      <c r="J440" s="54"/>
      <c r="K440" s="10"/>
      <c r="L440" s="55">
        <f>I440+J440+K440</f>
        <v>7279.26</v>
      </c>
      <c r="M440" s="54"/>
      <c r="N440" s="10"/>
      <c r="O440" s="55">
        <f>L440+M440+N440</f>
        <v>7279.26</v>
      </c>
      <c r="P440" s="142"/>
      <c r="Q440" s="143">
        <f>O440+P440</f>
        <v>7279.26</v>
      </c>
    </row>
    <row r="441" spans="1:17" ht="12.75">
      <c r="A441" s="67" t="s">
        <v>125</v>
      </c>
      <c r="B441" s="169"/>
      <c r="C441" s="179">
        <f>C443+C444</f>
        <v>329085</v>
      </c>
      <c r="D441" s="203">
        <f>D443+D444</f>
        <v>382556.16</v>
      </c>
      <c r="E441" s="203">
        <f>E443+E444</f>
        <v>1800</v>
      </c>
      <c r="F441" s="204">
        <f>F443+F444</f>
        <v>713441.1599999999</v>
      </c>
      <c r="G441" s="227"/>
      <c r="H441" s="6"/>
      <c r="I441" s="49" t="e">
        <f>I443+I444</f>
        <v>#REF!</v>
      </c>
      <c r="J441" s="48"/>
      <c r="K441" s="6"/>
      <c r="L441" s="49" t="e">
        <f>L443+L444</f>
        <v>#REF!</v>
      </c>
      <c r="M441" s="48"/>
      <c r="N441" s="6"/>
      <c r="O441" s="49" t="e">
        <f>O443+O444</f>
        <v>#REF!</v>
      </c>
      <c r="P441" s="130"/>
      <c r="Q441" s="107" t="e">
        <f>Q443+Q444</f>
        <v>#REF!</v>
      </c>
    </row>
    <row r="442" spans="1:17" ht="12.75">
      <c r="A442" s="69" t="s">
        <v>33</v>
      </c>
      <c r="B442" s="165"/>
      <c r="C442" s="179"/>
      <c r="D442" s="180"/>
      <c r="E442" s="180"/>
      <c r="F442" s="181"/>
      <c r="G442" s="227"/>
      <c r="H442" s="6"/>
      <c r="I442" s="49"/>
      <c r="J442" s="48"/>
      <c r="K442" s="6"/>
      <c r="L442" s="49"/>
      <c r="M442" s="48"/>
      <c r="N442" s="6"/>
      <c r="O442" s="49"/>
      <c r="P442" s="130"/>
      <c r="Q442" s="107"/>
    </row>
    <row r="443" spans="1:17" ht="12.75">
      <c r="A443" s="67" t="s">
        <v>62</v>
      </c>
      <c r="B443" s="169"/>
      <c r="C443" s="185">
        <f>C458+C460+C472+C474+C479+C484+C475+C465+C486+C467</f>
        <v>30547</v>
      </c>
      <c r="D443" s="186">
        <f>D458+D460+D472+D474+D479+D484+D475+D465+D486+D467</f>
        <v>132930.69</v>
      </c>
      <c r="E443" s="186">
        <f>E458+E460+E472+E474+E479+E484+E475+E465+E486+E467</f>
        <v>1800</v>
      </c>
      <c r="F443" s="187">
        <f>F458+F460+F472+F474+F479+F484+F475+F465+F486+F467</f>
        <v>165277.69</v>
      </c>
      <c r="G443" s="233"/>
      <c r="H443" s="102"/>
      <c r="I443" s="49">
        <f>I460+I472+I474+I479+I484+I475+I465+I486+I467</f>
        <v>69749.84</v>
      </c>
      <c r="J443" s="48"/>
      <c r="K443" s="6"/>
      <c r="L443" s="49">
        <f>L460+L472+L474+L479+L484+L475+L465+L486+L467</f>
        <v>69749.84</v>
      </c>
      <c r="M443" s="48"/>
      <c r="N443" s="6"/>
      <c r="O443" s="49">
        <f>O458+O460+O467+O479+O484+O475+O465+O472+O474+O486</f>
        <v>165277.69000000003</v>
      </c>
      <c r="P443" s="130"/>
      <c r="Q443" s="107">
        <f>Q458+Q460+Q467+Q479+Q484+Q475+Q465+Q472+Q474+Q486</f>
        <v>165277.69000000003</v>
      </c>
    </row>
    <row r="444" spans="1:17" ht="12.75">
      <c r="A444" s="67" t="s">
        <v>67</v>
      </c>
      <c r="B444" s="169"/>
      <c r="C444" s="185">
        <f>C447+C448+C450+C451+C453+C455+C456+C457+C461+C462+C464+C466+C468+C470+C471+C473+C476+C478+C480+C481+C483+C485+C487+C488</f>
        <v>298538</v>
      </c>
      <c r="D444" s="186">
        <f>D447+D448+D450+D451+D453+D455+D456+D457+D461+D462+D464+D466+D468+D470+D471+D473+D476+D478+D480+D481+D483+D485+D487+D488</f>
        <v>249625.46999999997</v>
      </c>
      <c r="E444" s="186">
        <f>E447+E448+E450+E451+E453+E455+E456+E457+E461+E462+E464+E466+E468+E470+E471+E473+E476+E478+E480+E481+E483+E485+E487+E488</f>
        <v>0</v>
      </c>
      <c r="F444" s="187">
        <f>F447+F448+F450+F451+F453+F455+F456+F457+F461+F462+F464+F466+F468+F470+F471+F473+F476+F478+F480+F481+F483+F485+F487+F488</f>
        <v>548163.47</v>
      </c>
      <c r="G444" s="233"/>
      <c r="H444" s="6"/>
      <c r="I444" s="49" t="e">
        <f>I447+I448+I450+I451+I455+I456+I457+I461+I462+I464+I466+I468+I470+I471+I473+I476+I478+I480+I481+I483+I485+I487+#REF!</f>
        <v>#REF!</v>
      </c>
      <c r="J444" s="48"/>
      <c r="K444" s="6"/>
      <c r="L444" s="49" t="e">
        <f>L447+L448+L450+L451+L455+L456+L457+L461+L462+L464+L466+L468+L470+L471+L473+L476+L478+L480+L481+L483+L485+L487+#REF!</f>
        <v>#REF!</v>
      </c>
      <c r="M444" s="48"/>
      <c r="N444" s="6"/>
      <c r="O444" s="49" t="e">
        <f>O447+O448+O450+O451+O455+O456+O457+O461+O462+O464+O466+O468+O470+O471+O473+O476+O478+O480+O481+O483+O485+O487+#REF!</f>
        <v>#REF!</v>
      </c>
      <c r="P444" s="130"/>
      <c r="Q444" s="107" t="e">
        <f>Q447+Q448+Q450+Q451+Q455+Q456+Q457+Q461+Q462+Q464+Q466+Q468+Q470+Q471+Q473+Q476+Q478+Q480+Q481+Q483+Q485+Q487+#REF!</f>
        <v>#REF!</v>
      </c>
    </row>
    <row r="445" spans="1:17" ht="12.75">
      <c r="A445" s="68" t="s">
        <v>126</v>
      </c>
      <c r="B445" s="165"/>
      <c r="C445" s="179"/>
      <c r="D445" s="180"/>
      <c r="E445" s="180"/>
      <c r="F445" s="181"/>
      <c r="G445" s="227"/>
      <c r="H445" s="6"/>
      <c r="I445" s="49"/>
      <c r="J445" s="48"/>
      <c r="K445" s="6"/>
      <c r="L445" s="49"/>
      <c r="M445" s="48"/>
      <c r="N445" s="6"/>
      <c r="O445" s="49"/>
      <c r="P445" s="129"/>
      <c r="Q445" s="127"/>
    </row>
    <row r="446" spans="1:17" ht="12.75">
      <c r="A446" s="69" t="s">
        <v>127</v>
      </c>
      <c r="B446" s="165">
        <v>18</v>
      </c>
      <c r="C446" s="184">
        <f>C447+C448</f>
        <v>1000</v>
      </c>
      <c r="D446" s="182">
        <f>D447+D448</f>
        <v>0</v>
      </c>
      <c r="E446" s="182">
        <f>E447+E448</f>
        <v>0</v>
      </c>
      <c r="F446" s="183">
        <f>F447+F448</f>
        <v>1000</v>
      </c>
      <c r="G446" s="228"/>
      <c r="H446" s="7"/>
      <c r="I446" s="51">
        <f>I447+I448</f>
        <v>1000</v>
      </c>
      <c r="J446" s="50"/>
      <c r="K446" s="7"/>
      <c r="L446" s="51">
        <f>L447+L448</f>
        <v>1000</v>
      </c>
      <c r="M446" s="50"/>
      <c r="N446" s="7"/>
      <c r="O446" s="51">
        <f>O447+O448</f>
        <v>1000</v>
      </c>
      <c r="P446" s="131"/>
      <c r="Q446" s="116">
        <f>Q447+Q448</f>
        <v>1000</v>
      </c>
    </row>
    <row r="447" spans="1:17" ht="12.75">
      <c r="A447" s="69" t="s">
        <v>128</v>
      </c>
      <c r="B447" s="165"/>
      <c r="C447" s="184">
        <v>1000</v>
      </c>
      <c r="D447" s="182"/>
      <c r="E447" s="182"/>
      <c r="F447" s="183">
        <f aca="true" t="shared" si="73" ref="F447:F491">C447+D447+E447</f>
        <v>1000</v>
      </c>
      <c r="G447" s="228"/>
      <c r="H447" s="6"/>
      <c r="I447" s="51">
        <f>F447+G447+H447</f>
        <v>1000</v>
      </c>
      <c r="J447" s="50"/>
      <c r="K447" s="6"/>
      <c r="L447" s="51">
        <f>I447+J447+K447</f>
        <v>1000</v>
      </c>
      <c r="M447" s="50"/>
      <c r="N447" s="6"/>
      <c r="O447" s="51">
        <f>L447+M447+N447</f>
        <v>1000</v>
      </c>
      <c r="P447" s="129"/>
      <c r="Q447" s="127">
        <f>O447+P447</f>
        <v>1000</v>
      </c>
    </row>
    <row r="448" spans="1:17" ht="12.75" hidden="1">
      <c r="A448" s="69" t="s">
        <v>129</v>
      </c>
      <c r="B448" s="165"/>
      <c r="C448" s="184">
        <v>0</v>
      </c>
      <c r="D448" s="182"/>
      <c r="E448" s="182"/>
      <c r="F448" s="183">
        <f t="shared" si="73"/>
        <v>0</v>
      </c>
      <c r="G448" s="228"/>
      <c r="H448" s="6"/>
      <c r="I448" s="51">
        <f>F448+G448+H448</f>
        <v>0</v>
      </c>
      <c r="J448" s="50"/>
      <c r="K448" s="6"/>
      <c r="L448" s="51">
        <f>I448+J448+K448</f>
        <v>0</v>
      </c>
      <c r="M448" s="50"/>
      <c r="N448" s="6"/>
      <c r="O448" s="51">
        <f>L448+M448+N448</f>
        <v>0</v>
      </c>
      <c r="P448" s="129"/>
      <c r="Q448" s="127">
        <f>O448+P448</f>
        <v>0</v>
      </c>
    </row>
    <row r="449" spans="1:17" ht="12.75">
      <c r="A449" s="69" t="s">
        <v>130</v>
      </c>
      <c r="B449" s="165">
        <v>19</v>
      </c>
      <c r="C449" s="184">
        <f>C450+C451</f>
        <v>6358</v>
      </c>
      <c r="D449" s="182">
        <f>D450+D451</f>
        <v>3068.39</v>
      </c>
      <c r="E449" s="182">
        <f>E450+E451</f>
        <v>0</v>
      </c>
      <c r="F449" s="183">
        <f>F450+F451</f>
        <v>9426.39</v>
      </c>
      <c r="G449" s="228"/>
      <c r="H449" s="7"/>
      <c r="I449" s="51">
        <f>I450+I451</f>
        <v>9426.39</v>
      </c>
      <c r="J449" s="50"/>
      <c r="K449" s="7"/>
      <c r="L449" s="51">
        <f>L450+L451</f>
        <v>9426.39</v>
      </c>
      <c r="M449" s="50"/>
      <c r="N449" s="7"/>
      <c r="O449" s="51">
        <f>O450+O451</f>
        <v>9426.39</v>
      </c>
      <c r="P449" s="131"/>
      <c r="Q449" s="116">
        <f>Q450+Q451</f>
        <v>9426.39</v>
      </c>
    </row>
    <row r="450" spans="1:17" ht="12.75">
      <c r="A450" s="69" t="s">
        <v>128</v>
      </c>
      <c r="B450" s="165"/>
      <c r="C450" s="184">
        <v>6358</v>
      </c>
      <c r="D450" s="182">
        <f>220+180+280+2300</f>
        <v>2980</v>
      </c>
      <c r="E450" s="182"/>
      <c r="F450" s="183">
        <f t="shared" si="73"/>
        <v>9338</v>
      </c>
      <c r="G450" s="228"/>
      <c r="H450" s="6"/>
      <c r="I450" s="51">
        <f>F450+G450+H450</f>
        <v>9338</v>
      </c>
      <c r="J450" s="50"/>
      <c r="K450" s="6"/>
      <c r="L450" s="51">
        <f>I450+J450+K450</f>
        <v>9338</v>
      </c>
      <c r="M450" s="50"/>
      <c r="N450" s="6"/>
      <c r="O450" s="51">
        <f>L450+M450+N450</f>
        <v>9338</v>
      </c>
      <c r="P450" s="129"/>
      <c r="Q450" s="127">
        <f>O450+P450</f>
        <v>9338</v>
      </c>
    </row>
    <row r="451" spans="1:17" ht="12.75">
      <c r="A451" s="78" t="s">
        <v>129</v>
      </c>
      <c r="B451" s="168"/>
      <c r="C451" s="194"/>
      <c r="D451" s="195">
        <f>268.39-180</f>
        <v>88.38999999999999</v>
      </c>
      <c r="E451" s="195"/>
      <c r="F451" s="246">
        <f t="shared" si="73"/>
        <v>88.38999999999999</v>
      </c>
      <c r="G451" s="228"/>
      <c r="H451" s="6"/>
      <c r="I451" s="51">
        <f>F451+G451+H451</f>
        <v>88.38999999999999</v>
      </c>
      <c r="J451" s="50"/>
      <c r="K451" s="6"/>
      <c r="L451" s="51">
        <f>I451+J451+K451</f>
        <v>88.38999999999999</v>
      </c>
      <c r="M451" s="50"/>
      <c r="N451" s="6"/>
      <c r="O451" s="51">
        <f>L451+M451+N451</f>
        <v>88.38999999999999</v>
      </c>
      <c r="P451" s="129"/>
      <c r="Q451" s="127">
        <f>O451+P451</f>
        <v>88.38999999999999</v>
      </c>
    </row>
    <row r="452" spans="1:17" ht="12.75" hidden="1">
      <c r="A452" s="70" t="s">
        <v>207</v>
      </c>
      <c r="B452" s="165">
        <v>2</v>
      </c>
      <c r="C452" s="184">
        <f>C453</f>
        <v>0</v>
      </c>
      <c r="D452" s="182">
        <f>D453</f>
        <v>0</v>
      </c>
      <c r="E452" s="182">
        <f>E453</f>
        <v>0</v>
      </c>
      <c r="F452" s="183">
        <f>F453</f>
        <v>0</v>
      </c>
      <c r="G452" s="228"/>
      <c r="H452" s="6"/>
      <c r="I452" s="51"/>
      <c r="J452" s="50"/>
      <c r="K452" s="6"/>
      <c r="L452" s="51"/>
      <c r="M452" s="50"/>
      <c r="N452" s="6"/>
      <c r="O452" s="51"/>
      <c r="P452" s="129"/>
      <c r="Q452" s="127"/>
    </row>
    <row r="453" spans="1:17" ht="12.75" hidden="1">
      <c r="A453" s="70" t="s">
        <v>208</v>
      </c>
      <c r="B453" s="165"/>
      <c r="C453" s="184"/>
      <c r="D453" s="182"/>
      <c r="E453" s="182"/>
      <c r="F453" s="183">
        <f t="shared" si="73"/>
        <v>0</v>
      </c>
      <c r="G453" s="228"/>
      <c r="H453" s="6"/>
      <c r="I453" s="51"/>
      <c r="J453" s="50"/>
      <c r="K453" s="6"/>
      <c r="L453" s="51"/>
      <c r="M453" s="50"/>
      <c r="N453" s="6"/>
      <c r="O453" s="51"/>
      <c r="P453" s="129"/>
      <c r="Q453" s="127"/>
    </row>
    <row r="454" spans="1:17" ht="12.75">
      <c r="A454" s="69" t="s">
        <v>131</v>
      </c>
      <c r="B454" s="165">
        <v>10</v>
      </c>
      <c r="C454" s="184">
        <f>SUM(C455:C458)</f>
        <v>34000</v>
      </c>
      <c r="D454" s="182">
        <f>SUM(D455:D458)</f>
        <v>130202.56</v>
      </c>
      <c r="E454" s="182">
        <f>SUM(E455:E458)</f>
        <v>0</v>
      </c>
      <c r="F454" s="183">
        <f>SUM(F455:F458)</f>
        <v>164202.56</v>
      </c>
      <c r="G454" s="228"/>
      <c r="H454" s="7"/>
      <c r="I454" s="51">
        <f>SUM(I455:I458)</f>
        <v>164202.56</v>
      </c>
      <c r="J454" s="50"/>
      <c r="K454" s="7"/>
      <c r="L454" s="51">
        <f>SUM(L455:L457)</f>
        <v>68674.70999999999</v>
      </c>
      <c r="M454" s="50"/>
      <c r="N454" s="7"/>
      <c r="O454" s="51">
        <f>SUM(O455:O457)</f>
        <v>68674.70999999999</v>
      </c>
      <c r="P454" s="131"/>
      <c r="Q454" s="116">
        <f>SUM(Q455:Q457)</f>
        <v>68674.70999999999</v>
      </c>
    </row>
    <row r="455" spans="1:17" ht="12.75">
      <c r="A455" s="69" t="s">
        <v>132</v>
      </c>
      <c r="B455" s="165"/>
      <c r="C455" s="184">
        <v>0</v>
      </c>
      <c r="D455" s="182"/>
      <c r="E455" s="182"/>
      <c r="F455" s="183">
        <f t="shared" si="73"/>
        <v>0</v>
      </c>
      <c r="G455" s="228"/>
      <c r="H455" s="7"/>
      <c r="I455" s="51">
        <f>F455+G455+H455</f>
        <v>0</v>
      </c>
      <c r="J455" s="50"/>
      <c r="K455" s="7"/>
      <c r="L455" s="51">
        <f>I455+J455+K455</f>
        <v>0</v>
      </c>
      <c r="M455" s="50"/>
      <c r="N455" s="7"/>
      <c r="O455" s="51">
        <f>L455+M455+N455</f>
        <v>0</v>
      </c>
      <c r="P455" s="129"/>
      <c r="Q455" s="127">
        <f>O455+P455</f>
        <v>0</v>
      </c>
    </row>
    <row r="456" spans="1:17" ht="12.75">
      <c r="A456" s="69" t="s">
        <v>133</v>
      </c>
      <c r="B456" s="165"/>
      <c r="C456" s="184">
        <v>34000</v>
      </c>
      <c r="D456" s="199">
        <f>18640.81+15000</f>
        <v>33640.81</v>
      </c>
      <c r="E456" s="199"/>
      <c r="F456" s="183">
        <f t="shared" si="73"/>
        <v>67640.81</v>
      </c>
      <c r="G456" s="228"/>
      <c r="H456" s="7"/>
      <c r="I456" s="51">
        <f>F456+G456+H456</f>
        <v>67640.81</v>
      </c>
      <c r="J456" s="50"/>
      <c r="K456" s="7"/>
      <c r="L456" s="51">
        <f>I456+J456+K456</f>
        <v>67640.81</v>
      </c>
      <c r="M456" s="50"/>
      <c r="N456" s="7"/>
      <c r="O456" s="51">
        <f>L456+M456+N456</f>
        <v>67640.81</v>
      </c>
      <c r="P456" s="129"/>
      <c r="Q456" s="127">
        <f>O456+P456</f>
        <v>67640.81</v>
      </c>
    </row>
    <row r="457" spans="1:17" ht="12.75">
      <c r="A457" s="69" t="s">
        <v>129</v>
      </c>
      <c r="B457" s="165"/>
      <c r="C457" s="184"/>
      <c r="D457" s="182">
        <f>1033.9</f>
        <v>1033.9</v>
      </c>
      <c r="E457" s="182"/>
      <c r="F457" s="183">
        <f t="shared" si="73"/>
        <v>1033.9</v>
      </c>
      <c r="G457" s="228"/>
      <c r="H457" s="7"/>
      <c r="I457" s="51">
        <f>F457+G457+H457</f>
        <v>1033.9</v>
      </c>
      <c r="J457" s="50"/>
      <c r="K457" s="7"/>
      <c r="L457" s="51">
        <f>I457+J457+K457</f>
        <v>1033.9</v>
      </c>
      <c r="M457" s="50"/>
      <c r="N457" s="7"/>
      <c r="O457" s="51">
        <f>L457+M457+N457</f>
        <v>1033.9</v>
      </c>
      <c r="P457" s="129"/>
      <c r="Q457" s="127">
        <f>O457+P457</f>
        <v>1033.9</v>
      </c>
    </row>
    <row r="458" spans="1:17" ht="12.75">
      <c r="A458" s="70" t="s">
        <v>159</v>
      </c>
      <c r="B458" s="165"/>
      <c r="C458" s="184"/>
      <c r="D458" s="248">
        <f>527.85+95000</f>
        <v>95527.85</v>
      </c>
      <c r="E458" s="182"/>
      <c r="F458" s="183">
        <f t="shared" si="73"/>
        <v>95527.85</v>
      </c>
      <c r="G458" s="228"/>
      <c r="H458" s="7"/>
      <c r="I458" s="51">
        <f>F458+G458+H458</f>
        <v>95527.85</v>
      </c>
      <c r="J458" s="50"/>
      <c r="K458" s="7"/>
      <c r="L458" s="51">
        <f>I458+J458+K458</f>
        <v>95527.85</v>
      </c>
      <c r="M458" s="50"/>
      <c r="N458" s="7"/>
      <c r="O458" s="51">
        <f>L458+M458+N458</f>
        <v>95527.85</v>
      </c>
      <c r="P458" s="129"/>
      <c r="Q458" s="127">
        <f>O458+P458</f>
        <v>95527.85</v>
      </c>
    </row>
    <row r="459" spans="1:17" ht="12.75">
      <c r="A459" s="69" t="s">
        <v>134</v>
      </c>
      <c r="B459" s="165">
        <v>12</v>
      </c>
      <c r="C459" s="184">
        <f aca="true" t="shared" si="74" ref="C459:Q459">C460+C461+C462</f>
        <v>5277</v>
      </c>
      <c r="D459" s="182">
        <f t="shared" si="74"/>
        <v>28110</v>
      </c>
      <c r="E459" s="182">
        <f>E460+E461+E462</f>
        <v>0</v>
      </c>
      <c r="F459" s="183">
        <f t="shared" si="74"/>
        <v>33387</v>
      </c>
      <c r="G459" s="145"/>
      <c r="H459" s="7"/>
      <c r="I459" s="51">
        <f t="shared" si="74"/>
        <v>33387</v>
      </c>
      <c r="J459" s="50"/>
      <c r="K459" s="7"/>
      <c r="L459" s="51">
        <f t="shared" si="74"/>
        <v>33387</v>
      </c>
      <c r="M459" s="50"/>
      <c r="N459" s="7"/>
      <c r="O459" s="51">
        <f t="shared" si="74"/>
        <v>33387</v>
      </c>
      <c r="P459" s="131"/>
      <c r="Q459" s="116">
        <f t="shared" si="74"/>
        <v>33387</v>
      </c>
    </row>
    <row r="460" spans="1:17" ht="12.75">
      <c r="A460" s="69" t="s">
        <v>135</v>
      </c>
      <c r="B460" s="165"/>
      <c r="C460" s="184">
        <v>2337</v>
      </c>
      <c r="D460" s="182">
        <f>476.13-100</f>
        <v>376.13</v>
      </c>
      <c r="E460" s="182"/>
      <c r="F460" s="183">
        <f t="shared" si="73"/>
        <v>2713.13</v>
      </c>
      <c r="G460" s="228"/>
      <c r="H460" s="7"/>
      <c r="I460" s="51">
        <f>F460+G460+H460</f>
        <v>2713.13</v>
      </c>
      <c r="J460" s="50"/>
      <c r="K460" s="7"/>
      <c r="L460" s="51">
        <f>I460+J460+K460</f>
        <v>2713.13</v>
      </c>
      <c r="M460" s="50"/>
      <c r="N460" s="7"/>
      <c r="O460" s="51">
        <f>L460+M460+N460</f>
        <v>2713.13</v>
      </c>
      <c r="P460" s="129"/>
      <c r="Q460" s="127">
        <f>O460+P460</f>
        <v>2713.13</v>
      </c>
    </row>
    <row r="461" spans="1:17" ht="12.75">
      <c r="A461" s="69" t="s">
        <v>133</v>
      </c>
      <c r="B461" s="165"/>
      <c r="C461" s="184">
        <v>2940</v>
      </c>
      <c r="D461" s="182">
        <f>29473.87-1740</f>
        <v>27733.87</v>
      </c>
      <c r="E461" s="182"/>
      <c r="F461" s="183">
        <f t="shared" si="73"/>
        <v>30673.87</v>
      </c>
      <c r="G461" s="228"/>
      <c r="H461" s="7"/>
      <c r="I461" s="51">
        <f>F461+G461+H461</f>
        <v>30673.87</v>
      </c>
      <c r="J461" s="50"/>
      <c r="K461" s="7"/>
      <c r="L461" s="51">
        <f>I461+J461+K461</f>
        <v>30673.87</v>
      </c>
      <c r="M461" s="50"/>
      <c r="N461" s="7"/>
      <c r="O461" s="51">
        <f>L461+M461+N461</f>
        <v>30673.87</v>
      </c>
      <c r="P461" s="129"/>
      <c r="Q461" s="127">
        <f>O461+P461</f>
        <v>30673.87</v>
      </c>
    </row>
    <row r="462" spans="1:17" ht="12.75" customHeight="1" hidden="1">
      <c r="A462" s="69" t="s">
        <v>129</v>
      </c>
      <c r="B462" s="165"/>
      <c r="C462" s="184"/>
      <c r="D462" s="182"/>
      <c r="E462" s="182"/>
      <c r="F462" s="183">
        <f t="shared" si="73"/>
        <v>0</v>
      </c>
      <c r="G462" s="228"/>
      <c r="H462" s="7"/>
      <c r="I462" s="51">
        <f>F462+G462+H462</f>
        <v>0</v>
      </c>
      <c r="J462" s="50"/>
      <c r="K462" s="7"/>
      <c r="L462" s="51">
        <f>I462+J462+K462</f>
        <v>0</v>
      </c>
      <c r="M462" s="50"/>
      <c r="N462" s="7"/>
      <c r="O462" s="51">
        <f>L462+M462+N462</f>
        <v>0</v>
      </c>
      <c r="P462" s="129"/>
      <c r="Q462" s="127">
        <f>O462+P462</f>
        <v>0</v>
      </c>
    </row>
    <row r="463" spans="1:17" ht="12.75">
      <c r="A463" s="69" t="s">
        <v>136</v>
      </c>
      <c r="B463" s="165">
        <v>14</v>
      </c>
      <c r="C463" s="184">
        <f>SUM(C464:C468)</f>
        <v>44000</v>
      </c>
      <c r="D463" s="182">
        <f>SUM(D464:D468)</f>
        <v>67659.7</v>
      </c>
      <c r="E463" s="182">
        <f>SUM(E464:E468)</f>
        <v>0</v>
      </c>
      <c r="F463" s="183">
        <f>SUM(F464:F468)</f>
        <v>111659.7</v>
      </c>
      <c r="G463" s="228"/>
      <c r="H463" s="7"/>
      <c r="I463" s="51">
        <f>SUM(I464:I468)</f>
        <v>111659.7</v>
      </c>
      <c r="J463" s="50"/>
      <c r="K463" s="7"/>
      <c r="L463" s="51">
        <f>SUM(L464:L468)</f>
        <v>111659.7</v>
      </c>
      <c r="M463" s="50"/>
      <c r="N463" s="7"/>
      <c r="O463" s="51">
        <f>SUM(O464:O468)</f>
        <v>111659.7</v>
      </c>
      <c r="P463" s="131"/>
      <c r="Q463" s="116">
        <f>SUM(Q464:Q468)</f>
        <v>111659.7</v>
      </c>
    </row>
    <row r="464" spans="1:17" ht="12.75">
      <c r="A464" s="69" t="s">
        <v>137</v>
      </c>
      <c r="B464" s="165"/>
      <c r="C464" s="184">
        <v>23090</v>
      </c>
      <c r="D464" s="199">
        <f>12109.7+17500+51</f>
        <v>29660.7</v>
      </c>
      <c r="E464" s="199"/>
      <c r="F464" s="183">
        <f t="shared" si="73"/>
        <v>52750.7</v>
      </c>
      <c r="G464" s="228"/>
      <c r="H464" s="7"/>
      <c r="I464" s="51">
        <f>F464+G464+H464</f>
        <v>52750.7</v>
      </c>
      <c r="J464" s="50"/>
      <c r="K464" s="7"/>
      <c r="L464" s="51">
        <f>I464+J464+K464</f>
        <v>52750.7</v>
      </c>
      <c r="M464" s="50"/>
      <c r="N464" s="7"/>
      <c r="O464" s="51">
        <f>L464+M464+N464</f>
        <v>52750.7</v>
      </c>
      <c r="P464" s="129"/>
      <c r="Q464" s="127">
        <f aca="true" t="shared" si="75" ref="Q464:Q504">O464+P464</f>
        <v>52750.7</v>
      </c>
    </row>
    <row r="465" spans="1:17" ht="12.75">
      <c r="A465" s="69" t="s">
        <v>138</v>
      </c>
      <c r="B465" s="165"/>
      <c r="C465" s="184">
        <v>20910</v>
      </c>
      <c r="D465" s="182">
        <f>9101+14400-51</f>
        <v>23450</v>
      </c>
      <c r="E465" s="182"/>
      <c r="F465" s="183">
        <f t="shared" si="73"/>
        <v>44360</v>
      </c>
      <c r="G465" s="228"/>
      <c r="H465" s="7"/>
      <c r="I465" s="51">
        <f>F465+G465+H465</f>
        <v>44360</v>
      </c>
      <c r="J465" s="50"/>
      <c r="K465" s="7"/>
      <c r="L465" s="51">
        <f>I465+J465+K465</f>
        <v>44360</v>
      </c>
      <c r="M465" s="50"/>
      <c r="N465" s="7"/>
      <c r="O465" s="51">
        <f>L465+M465+N465</f>
        <v>44360</v>
      </c>
      <c r="P465" s="129"/>
      <c r="Q465" s="127">
        <f t="shared" si="75"/>
        <v>44360</v>
      </c>
    </row>
    <row r="466" spans="1:17" ht="13.5" customHeight="1">
      <c r="A466" s="69" t="s">
        <v>139</v>
      </c>
      <c r="B466" s="165"/>
      <c r="C466" s="184"/>
      <c r="D466" s="182">
        <f>12581.5+1100</f>
        <v>13681.5</v>
      </c>
      <c r="E466" s="182"/>
      <c r="F466" s="183">
        <f t="shared" si="73"/>
        <v>13681.5</v>
      </c>
      <c r="G466" s="228"/>
      <c r="H466" s="7"/>
      <c r="I466" s="51">
        <f>F466+G466+H466</f>
        <v>13681.5</v>
      </c>
      <c r="J466" s="50"/>
      <c r="K466" s="7"/>
      <c r="L466" s="51">
        <f>I466+J466+K466</f>
        <v>13681.5</v>
      </c>
      <c r="M466" s="50"/>
      <c r="N466" s="7"/>
      <c r="O466" s="51">
        <f>L466+M466+N466</f>
        <v>13681.5</v>
      </c>
      <c r="P466" s="129"/>
      <c r="Q466" s="127">
        <f t="shared" si="75"/>
        <v>13681.5</v>
      </c>
    </row>
    <row r="467" spans="1:17" ht="13.5" customHeight="1">
      <c r="A467" s="70" t="s">
        <v>159</v>
      </c>
      <c r="B467" s="165"/>
      <c r="C467" s="184"/>
      <c r="D467" s="182">
        <f>867.5</f>
        <v>867.5</v>
      </c>
      <c r="E467" s="182"/>
      <c r="F467" s="183">
        <f t="shared" si="73"/>
        <v>867.5</v>
      </c>
      <c r="G467" s="228"/>
      <c r="H467" s="7"/>
      <c r="I467" s="51">
        <f>F467+G467+H467</f>
        <v>867.5</v>
      </c>
      <c r="J467" s="50"/>
      <c r="K467" s="7"/>
      <c r="L467" s="51">
        <f>I467+J467+K467</f>
        <v>867.5</v>
      </c>
      <c r="M467" s="50"/>
      <c r="N467" s="7"/>
      <c r="O467" s="51">
        <f>L467+M467+N467</f>
        <v>867.5</v>
      </c>
      <c r="P467" s="129"/>
      <c r="Q467" s="127">
        <f t="shared" si="75"/>
        <v>867.5</v>
      </c>
    </row>
    <row r="468" spans="1:17" ht="12.75" hidden="1">
      <c r="A468" s="69" t="s">
        <v>140</v>
      </c>
      <c r="B468" s="165"/>
      <c r="C468" s="184"/>
      <c r="D468" s="182"/>
      <c r="E468" s="182"/>
      <c r="F468" s="183">
        <f t="shared" si="73"/>
        <v>0</v>
      </c>
      <c r="G468" s="228"/>
      <c r="H468" s="7"/>
      <c r="I468" s="51">
        <f>F468+G468+H468</f>
        <v>0</v>
      </c>
      <c r="J468" s="50"/>
      <c r="K468" s="7"/>
      <c r="L468" s="51">
        <f>I468+J468+K468</f>
        <v>0</v>
      </c>
      <c r="M468" s="50"/>
      <c r="N468" s="7"/>
      <c r="O468" s="51">
        <f>L468+M468+N468</f>
        <v>0</v>
      </c>
      <c r="P468" s="129"/>
      <c r="Q468" s="127">
        <f t="shared" si="75"/>
        <v>0</v>
      </c>
    </row>
    <row r="469" spans="1:17" ht="12.75">
      <c r="A469" s="69" t="s">
        <v>141</v>
      </c>
      <c r="B469" s="165">
        <v>15</v>
      </c>
      <c r="C469" s="184">
        <f>SUM(C470:C476)</f>
        <v>210450</v>
      </c>
      <c r="D469" s="182">
        <f>SUM(D470:D476)</f>
        <v>99932.30000000002</v>
      </c>
      <c r="E469" s="182">
        <f>SUM(E470:E476)</f>
        <v>1800</v>
      </c>
      <c r="F469" s="183">
        <f>SUM(F470:F476)</f>
        <v>312182.30000000005</v>
      </c>
      <c r="G469" s="228"/>
      <c r="H469" s="7"/>
      <c r="I469" s="51">
        <f>SUM(I470:I476)</f>
        <v>312182.30000000005</v>
      </c>
      <c r="J469" s="50"/>
      <c r="K469" s="7"/>
      <c r="L469" s="51">
        <f>SUM(L470:L476)</f>
        <v>312182.30000000005</v>
      </c>
      <c r="M469" s="50"/>
      <c r="N469" s="7"/>
      <c r="O469" s="51">
        <f>SUM(O470:O476)</f>
        <v>312182.30000000005</v>
      </c>
      <c r="P469" s="131"/>
      <c r="Q469" s="116">
        <f>SUM(Q470:Q476)</f>
        <v>312182.30000000005</v>
      </c>
    </row>
    <row r="470" spans="1:17" ht="12.75">
      <c r="A470" s="69" t="s">
        <v>142</v>
      </c>
      <c r="B470" s="165"/>
      <c r="C470" s="184">
        <v>203900</v>
      </c>
      <c r="D470" s="182">
        <f>116359.11-100000</f>
        <v>16359.11</v>
      </c>
      <c r="E470" s="182"/>
      <c r="F470" s="183">
        <f t="shared" si="73"/>
        <v>220259.11</v>
      </c>
      <c r="G470" s="228"/>
      <c r="H470" s="7"/>
      <c r="I470" s="51">
        <f aca="true" t="shared" si="76" ref="I470:I476">F470+G470+H470</f>
        <v>220259.11</v>
      </c>
      <c r="J470" s="50"/>
      <c r="K470" s="7"/>
      <c r="L470" s="51">
        <f aca="true" t="shared" si="77" ref="L470:L476">I470+J470+K470</f>
        <v>220259.11</v>
      </c>
      <c r="M470" s="50"/>
      <c r="N470" s="7"/>
      <c r="O470" s="51">
        <f aca="true" t="shared" si="78" ref="O470:O476">L470+M470+N470</f>
        <v>220259.11</v>
      </c>
      <c r="P470" s="129"/>
      <c r="Q470" s="127">
        <f t="shared" si="75"/>
        <v>220259.11</v>
      </c>
    </row>
    <row r="471" spans="1:17" ht="12.75" hidden="1">
      <c r="A471" s="69" t="s">
        <v>143</v>
      </c>
      <c r="B471" s="165"/>
      <c r="C471" s="184">
        <v>0</v>
      </c>
      <c r="D471" s="182"/>
      <c r="E471" s="182"/>
      <c r="F471" s="183">
        <f t="shared" si="73"/>
        <v>0</v>
      </c>
      <c r="G471" s="228"/>
      <c r="H471" s="7"/>
      <c r="I471" s="51">
        <f t="shared" si="76"/>
        <v>0</v>
      </c>
      <c r="J471" s="50"/>
      <c r="K471" s="7"/>
      <c r="L471" s="51">
        <f t="shared" si="77"/>
        <v>0</v>
      </c>
      <c r="M471" s="50"/>
      <c r="N471" s="7"/>
      <c r="O471" s="51">
        <f t="shared" si="78"/>
        <v>0</v>
      </c>
      <c r="P471" s="129"/>
      <c r="Q471" s="127">
        <f t="shared" si="75"/>
        <v>0</v>
      </c>
    </row>
    <row r="472" spans="1:17" ht="12.75" hidden="1">
      <c r="A472" s="69" t="s">
        <v>144</v>
      </c>
      <c r="B472" s="165"/>
      <c r="C472" s="184"/>
      <c r="D472" s="199"/>
      <c r="E472" s="199"/>
      <c r="F472" s="183">
        <f t="shared" si="73"/>
        <v>0</v>
      </c>
      <c r="G472" s="228"/>
      <c r="H472" s="7"/>
      <c r="I472" s="51">
        <f t="shared" si="76"/>
        <v>0</v>
      </c>
      <c r="J472" s="50"/>
      <c r="K472" s="7"/>
      <c r="L472" s="51">
        <f t="shared" si="77"/>
        <v>0</v>
      </c>
      <c r="M472" s="50"/>
      <c r="N472" s="7"/>
      <c r="O472" s="51">
        <f t="shared" si="78"/>
        <v>0</v>
      </c>
      <c r="P472" s="129"/>
      <c r="Q472" s="127">
        <f t="shared" si="75"/>
        <v>0</v>
      </c>
    </row>
    <row r="473" spans="1:17" ht="12.75">
      <c r="A473" s="69" t="s">
        <v>145</v>
      </c>
      <c r="B473" s="165"/>
      <c r="C473" s="184"/>
      <c r="D473" s="182">
        <f>30121.33</f>
        <v>30121.33</v>
      </c>
      <c r="E473" s="182"/>
      <c r="F473" s="183">
        <f t="shared" si="73"/>
        <v>30121.33</v>
      </c>
      <c r="G473" s="228"/>
      <c r="H473" s="7"/>
      <c r="I473" s="51">
        <f t="shared" si="76"/>
        <v>30121.33</v>
      </c>
      <c r="J473" s="50"/>
      <c r="K473" s="7"/>
      <c r="L473" s="51">
        <f t="shared" si="77"/>
        <v>30121.33</v>
      </c>
      <c r="M473" s="50"/>
      <c r="N473" s="7"/>
      <c r="O473" s="51">
        <f t="shared" si="78"/>
        <v>30121.33</v>
      </c>
      <c r="P473" s="129"/>
      <c r="Q473" s="127">
        <f t="shared" si="75"/>
        <v>30121.33</v>
      </c>
    </row>
    <row r="474" spans="1:17" ht="12.75">
      <c r="A474" s="69" t="s">
        <v>146</v>
      </c>
      <c r="B474" s="165"/>
      <c r="C474" s="184"/>
      <c r="D474" s="182">
        <f>5444.91</f>
        <v>5444.91</v>
      </c>
      <c r="E474" s="182"/>
      <c r="F474" s="183">
        <f t="shared" si="73"/>
        <v>5444.91</v>
      </c>
      <c r="G474" s="228"/>
      <c r="H474" s="7"/>
      <c r="I474" s="51">
        <f t="shared" si="76"/>
        <v>5444.91</v>
      </c>
      <c r="J474" s="65"/>
      <c r="K474" s="7"/>
      <c r="L474" s="51">
        <f t="shared" si="77"/>
        <v>5444.91</v>
      </c>
      <c r="M474" s="50"/>
      <c r="N474" s="7"/>
      <c r="O474" s="51">
        <f t="shared" si="78"/>
        <v>5444.91</v>
      </c>
      <c r="P474" s="129"/>
      <c r="Q474" s="127">
        <f t="shared" si="75"/>
        <v>5444.91</v>
      </c>
    </row>
    <row r="475" spans="1:17" ht="12.75">
      <c r="A475" s="69" t="s">
        <v>147</v>
      </c>
      <c r="B475" s="165"/>
      <c r="C475" s="184">
        <v>6550</v>
      </c>
      <c r="D475" s="182">
        <f>6984.3</f>
        <v>6984.3</v>
      </c>
      <c r="E475" s="182">
        <v>1800</v>
      </c>
      <c r="F475" s="183">
        <f t="shared" si="73"/>
        <v>15334.3</v>
      </c>
      <c r="G475" s="228"/>
      <c r="H475" s="7"/>
      <c r="I475" s="51">
        <f t="shared" si="76"/>
        <v>15334.3</v>
      </c>
      <c r="J475" s="50"/>
      <c r="K475" s="7"/>
      <c r="L475" s="51">
        <f t="shared" si="77"/>
        <v>15334.3</v>
      </c>
      <c r="M475" s="50"/>
      <c r="N475" s="7"/>
      <c r="O475" s="51">
        <f t="shared" si="78"/>
        <v>15334.3</v>
      </c>
      <c r="P475" s="129"/>
      <c r="Q475" s="127">
        <f t="shared" si="75"/>
        <v>15334.3</v>
      </c>
    </row>
    <row r="476" spans="1:17" ht="12.75">
      <c r="A476" s="69" t="s">
        <v>140</v>
      </c>
      <c r="B476" s="165"/>
      <c r="C476" s="184"/>
      <c r="D476" s="182">
        <f>979.15+43.5+40000</f>
        <v>41022.65</v>
      </c>
      <c r="E476" s="182"/>
      <c r="F476" s="183">
        <f t="shared" si="73"/>
        <v>41022.65</v>
      </c>
      <c r="G476" s="228"/>
      <c r="H476" s="7"/>
      <c r="I476" s="51">
        <f t="shared" si="76"/>
        <v>41022.65</v>
      </c>
      <c r="J476" s="50"/>
      <c r="K476" s="7"/>
      <c r="L476" s="51">
        <f t="shared" si="77"/>
        <v>41022.65</v>
      </c>
      <c r="M476" s="50"/>
      <c r="N476" s="7"/>
      <c r="O476" s="51">
        <f t="shared" si="78"/>
        <v>41022.65</v>
      </c>
      <c r="P476" s="129"/>
      <c r="Q476" s="127">
        <f t="shared" si="75"/>
        <v>41022.65</v>
      </c>
    </row>
    <row r="477" spans="1:17" ht="12.75">
      <c r="A477" s="69" t="s">
        <v>148</v>
      </c>
      <c r="B477" s="165">
        <v>16</v>
      </c>
      <c r="C477" s="184">
        <f>SUM(C478:C481)</f>
        <v>3000</v>
      </c>
      <c r="D477" s="182">
        <f>SUM(D478:D481)</f>
        <v>5473.72</v>
      </c>
      <c r="E477" s="182">
        <f>SUM(E478:E481)</f>
        <v>0</v>
      </c>
      <c r="F477" s="183">
        <f>SUM(F478:F481)</f>
        <v>8473.72</v>
      </c>
      <c r="G477" s="228"/>
      <c r="H477" s="7"/>
      <c r="I477" s="51">
        <f>SUM(I478:I481)</f>
        <v>8473.72</v>
      </c>
      <c r="J477" s="50"/>
      <c r="K477" s="7"/>
      <c r="L477" s="51">
        <f>SUM(L478:L481)</f>
        <v>8473.72</v>
      </c>
      <c r="M477" s="50"/>
      <c r="N477" s="7"/>
      <c r="O477" s="51">
        <f>SUM(O478:O481)</f>
        <v>8473.72</v>
      </c>
      <c r="P477" s="131"/>
      <c r="Q477" s="116">
        <f>SUM(Q478:Q481)</f>
        <v>8473.72</v>
      </c>
    </row>
    <row r="478" spans="1:17" ht="12.75">
      <c r="A478" s="69" t="s">
        <v>137</v>
      </c>
      <c r="B478" s="165"/>
      <c r="C478" s="184">
        <v>1558</v>
      </c>
      <c r="D478" s="182">
        <f>1120+100</f>
        <v>1220</v>
      </c>
      <c r="E478" s="182"/>
      <c r="F478" s="183">
        <f t="shared" si="73"/>
        <v>2778</v>
      </c>
      <c r="G478" s="228"/>
      <c r="H478" s="7"/>
      <c r="I478" s="51">
        <f>F478+G478+H478</f>
        <v>2778</v>
      </c>
      <c r="J478" s="50"/>
      <c r="K478" s="7"/>
      <c r="L478" s="51">
        <f>I478+J478+K478</f>
        <v>2778</v>
      </c>
      <c r="M478" s="50"/>
      <c r="N478" s="7"/>
      <c r="O478" s="51">
        <f>L478+M478+N478</f>
        <v>2778</v>
      </c>
      <c r="P478" s="129"/>
      <c r="Q478" s="127">
        <f t="shared" si="75"/>
        <v>2778</v>
      </c>
    </row>
    <row r="479" spans="1:17" ht="12.75">
      <c r="A479" s="69" t="s">
        <v>138</v>
      </c>
      <c r="B479" s="165"/>
      <c r="C479" s="184">
        <v>750</v>
      </c>
      <c r="D479" s="182">
        <f>180-100</f>
        <v>80</v>
      </c>
      <c r="E479" s="182"/>
      <c r="F479" s="183">
        <f t="shared" si="73"/>
        <v>830</v>
      </c>
      <c r="G479" s="228"/>
      <c r="H479" s="7"/>
      <c r="I479" s="51">
        <f>F479+G479+H479</f>
        <v>830</v>
      </c>
      <c r="J479" s="50"/>
      <c r="K479" s="7"/>
      <c r="L479" s="51">
        <f>I479+J479+K479</f>
        <v>830</v>
      </c>
      <c r="M479" s="50"/>
      <c r="N479" s="7"/>
      <c r="O479" s="51">
        <f>L479+M479+N479</f>
        <v>830</v>
      </c>
      <c r="P479" s="129"/>
      <c r="Q479" s="127">
        <f t="shared" si="75"/>
        <v>830</v>
      </c>
    </row>
    <row r="480" spans="1:17" ht="12.75">
      <c r="A480" s="69" t="s">
        <v>139</v>
      </c>
      <c r="B480" s="165"/>
      <c r="C480" s="184">
        <v>692</v>
      </c>
      <c r="D480" s="182">
        <f>3680.16</f>
        <v>3680.16</v>
      </c>
      <c r="E480" s="182"/>
      <c r="F480" s="183">
        <f t="shared" si="73"/>
        <v>4372.16</v>
      </c>
      <c r="G480" s="228"/>
      <c r="H480" s="7"/>
      <c r="I480" s="51">
        <f>F480+G480+H480</f>
        <v>4372.16</v>
      </c>
      <c r="J480" s="50"/>
      <c r="K480" s="7"/>
      <c r="L480" s="51">
        <f>I480+J480+K480</f>
        <v>4372.16</v>
      </c>
      <c r="M480" s="50"/>
      <c r="N480" s="7"/>
      <c r="O480" s="51">
        <f>L480+M480+N480</f>
        <v>4372.16</v>
      </c>
      <c r="P480" s="129"/>
      <c r="Q480" s="127">
        <f t="shared" si="75"/>
        <v>4372.16</v>
      </c>
    </row>
    <row r="481" spans="1:17" ht="12.75">
      <c r="A481" s="69" t="s">
        <v>140</v>
      </c>
      <c r="B481" s="165"/>
      <c r="C481" s="184">
        <v>0</v>
      </c>
      <c r="D481" s="182">
        <f>493.56</f>
        <v>493.56</v>
      </c>
      <c r="E481" s="182"/>
      <c r="F481" s="183">
        <f t="shared" si="73"/>
        <v>493.56</v>
      </c>
      <c r="G481" s="228"/>
      <c r="H481" s="7"/>
      <c r="I481" s="51">
        <f>F481+G481+H481</f>
        <v>493.56</v>
      </c>
      <c r="J481" s="50"/>
      <c r="K481" s="7"/>
      <c r="L481" s="51">
        <f>I481+J481+K481</f>
        <v>493.56</v>
      </c>
      <c r="M481" s="50"/>
      <c r="N481" s="7"/>
      <c r="O481" s="51">
        <f>L481+M481+N481</f>
        <v>493.56</v>
      </c>
      <c r="P481" s="129"/>
      <c r="Q481" s="127">
        <f t="shared" si="75"/>
        <v>493.56</v>
      </c>
    </row>
    <row r="482" spans="1:17" ht="12.75">
      <c r="A482" s="69" t="s">
        <v>149</v>
      </c>
      <c r="B482" s="165">
        <v>28</v>
      </c>
      <c r="C482" s="184">
        <f>SUM(C483:C487)</f>
        <v>10000</v>
      </c>
      <c r="D482" s="182">
        <f>SUM(D483:D487)</f>
        <v>48099.49</v>
      </c>
      <c r="E482" s="182">
        <f>SUM(E483:E487)</f>
        <v>0</v>
      </c>
      <c r="F482" s="183">
        <f>SUM(F483:F487)</f>
        <v>58099.49</v>
      </c>
      <c r="G482" s="228"/>
      <c r="H482" s="7"/>
      <c r="I482" s="51">
        <f>SUM(I483:I487)</f>
        <v>58099.49</v>
      </c>
      <c r="J482" s="50"/>
      <c r="K482" s="7"/>
      <c r="L482" s="51">
        <f>SUM(L483:L487)</f>
        <v>58099.49</v>
      </c>
      <c r="M482" s="50"/>
      <c r="N482" s="7"/>
      <c r="O482" s="51">
        <f>SUM(O483:O487)</f>
        <v>58038.89</v>
      </c>
      <c r="P482" s="131"/>
      <c r="Q482" s="116">
        <f>SUM(Q483:Q487)</f>
        <v>58038.89</v>
      </c>
    </row>
    <row r="483" spans="1:17" ht="12.75">
      <c r="A483" s="69" t="s">
        <v>137</v>
      </c>
      <c r="B483" s="165"/>
      <c r="C483" s="184">
        <v>1550</v>
      </c>
      <c r="D483" s="182">
        <f>5695+4200</f>
        <v>9895</v>
      </c>
      <c r="E483" s="182"/>
      <c r="F483" s="183">
        <f t="shared" si="73"/>
        <v>11445</v>
      </c>
      <c r="G483" s="228"/>
      <c r="H483" s="7"/>
      <c r="I483" s="51">
        <f>F483+G483+H483</f>
        <v>11445</v>
      </c>
      <c r="J483" s="50"/>
      <c r="K483" s="7"/>
      <c r="L483" s="51">
        <f>I483+J483+K483</f>
        <v>11445</v>
      </c>
      <c r="M483" s="50"/>
      <c r="N483" s="7"/>
      <c r="O483" s="51">
        <f>L483+M483+N483</f>
        <v>11445</v>
      </c>
      <c r="P483" s="129"/>
      <c r="Q483" s="127">
        <f t="shared" si="75"/>
        <v>11445</v>
      </c>
    </row>
    <row r="484" spans="1:17" ht="12.75">
      <c r="A484" s="69" t="s">
        <v>138</v>
      </c>
      <c r="B484" s="165"/>
      <c r="C484" s="184"/>
      <c r="D484" s="182">
        <f>200</f>
        <v>200</v>
      </c>
      <c r="E484" s="182"/>
      <c r="F484" s="183">
        <f t="shared" si="73"/>
        <v>200</v>
      </c>
      <c r="G484" s="228"/>
      <c r="H484" s="7"/>
      <c r="I484" s="51">
        <f>F484+G484+H484</f>
        <v>200</v>
      </c>
      <c r="J484" s="50"/>
      <c r="K484" s="7"/>
      <c r="L484" s="51">
        <f>I484+J484+K484</f>
        <v>200</v>
      </c>
      <c r="M484" s="50"/>
      <c r="N484" s="7"/>
      <c r="O484" s="51">
        <f>L484+M484+N484</f>
        <v>200</v>
      </c>
      <c r="P484" s="129"/>
      <c r="Q484" s="127">
        <f t="shared" si="75"/>
        <v>200</v>
      </c>
    </row>
    <row r="485" spans="1:17" ht="12.75">
      <c r="A485" s="69" t="s">
        <v>150</v>
      </c>
      <c r="B485" s="165"/>
      <c r="C485" s="184">
        <v>8200</v>
      </c>
      <c r="D485" s="182">
        <f>33224.67+510+4000+515.32</f>
        <v>38249.99</v>
      </c>
      <c r="E485" s="182"/>
      <c r="F485" s="183">
        <f t="shared" si="73"/>
        <v>46449.99</v>
      </c>
      <c r="G485" s="228"/>
      <c r="H485" s="7"/>
      <c r="I485" s="51">
        <f>F485+G485+H485</f>
        <v>46449.99</v>
      </c>
      <c r="J485" s="50"/>
      <c r="K485" s="7"/>
      <c r="L485" s="51">
        <f>I485+J485+K485</f>
        <v>46449.99</v>
      </c>
      <c r="M485" s="50"/>
      <c r="N485" s="7"/>
      <c r="O485" s="51">
        <f>L485+M485+N485</f>
        <v>46449.99</v>
      </c>
      <c r="P485" s="129"/>
      <c r="Q485" s="127">
        <f t="shared" si="75"/>
        <v>46449.99</v>
      </c>
    </row>
    <row r="486" spans="1:17" ht="12.75" hidden="1">
      <c r="A486" s="69" t="s">
        <v>147</v>
      </c>
      <c r="B486" s="165"/>
      <c r="C486" s="184"/>
      <c r="D486" s="182"/>
      <c r="E486" s="182"/>
      <c r="F486" s="183">
        <f t="shared" si="73"/>
        <v>0</v>
      </c>
      <c r="G486" s="228"/>
      <c r="H486" s="7"/>
      <c r="I486" s="51">
        <f>F486+G486+H486</f>
        <v>0</v>
      </c>
      <c r="J486" s="50"/>
      <c r="K486" s="7"/>
      <c r="L486" s="51">
        <f>I486+J486+K486</f>
        <v>0</v>
      </c>
      <c r="M486" s="50"/>
      <c r="N486" s="7"/>
      <c r="O486" s="51">
        <f>L486+M486+N486</f>
        <v>0</v>
      </c>
      <c r="P486" s="129"/>
      <c r="Q486" s="127">
        <f t="shared" si="75"/>
        <v>0</v>
      </c>
    </row>
    <row r="487" spans="1:17" ht="12.75">
      <c r="A487" s="69" t="s">
        <v>140</v>
      </c>
      <c r="B487" s="165"/>
      <c r="C487" s="184">
        <v>250</v>
      </c>
      <c r="D487" s="199">
        <f>1464.5-510-1200</f>
        <v>-245.5</v>
      </c>
      <c r="E487" s="182"/>
      <c r="F487" s="183">
        <f t="shared" si="73"/>
        <v>4.5</v>
      </c>
      <c r="G487" s="228"/>
      <c r="H487" s="7"/>
      <c r="I487" s="51">
        <f>F487+G487+H487</f>
        <v>4.5</v>
      </c>
      <c r="J487" s="50"/>
      <c r="K487" s="7"/>
      <c r="L487" s="51">
        <f>I487+J487+K487</f>
        <v>4.5</v>
      </c>
      <c r="M487" s="50"/>
      <c r="N487" s="7">
        <v>-60.6</v>
      </c>
      <c r="O487" s="51">
        <f>L487+M487+N487</f>
        <v>-56.1</v>
      </c>
      <c r="P487" s="129"/>
      <c r="Q487" s="127">
        <f t="shared" si="75"/>
        <v>-56.1</v>
      </c>
    </row>
    <row r="488" spans="1:17" ht="12.75">
      <c r="A488" s="70" t="s">
        <v>151</v>
      </c>
      <c r="B488" s="165"/>
      <c r="C488" s="254">
        <f>C489+C490</f>
        <v>15000</v>
      </c>
      <c r="D488" s="182">
        <f>D489+D490</f>
        <v>10</v>
      </c>
      <c r="E488" s="255">
        <f>E489+E490</f>
        <v>0</v>
      </c>
      <c r="F488" s="183">
        <f>F489+F490</f>
        <v>15010</v>
      </c>
      <c r="G488" s="228"/>
      <c r="H488" s="7"/>
      <c r="I488" s="51"/>
      <c r="J488" s="50"/>
      <c r="K488" s="7"/>
      <c r="L488" s="51"/>
      <c r="M488" s="50"/>
      <c r="N488" s="7"/>
      <c r="O488" s="51"/>
      <c r="P488" s="129"/>
      <c r="Q488" s="127"/>
    </row>
    <row r="489" spans="1:17" ht="12.75">
      <c r="A489" s="70" t="s">
        <v>326</v>
      </c>
      <c r="B489" s="165"/>
      <c r="C489" s="184">
        <v>15000</v>
      </c>
      <c r="D489" s="182"/>
      <c r="E489" s="182"/>
      <c r="F489" s="183">
        <f t="shared" si="73"/>
        <v>15000</v>
      </c>
      <c r="G489" s="228"/>
      <c r="H489" s="7"/>
      <c r="I489" s="51"/>
      <c r="J489" s="50"/>
      <c r="K489" s="7"/>
      <c r="L489" s="51"/>
      <c r="M489" s="50"/>
      <c r="N489" s="7"/>
      <c r="O489" s="51"/>
      <c r="P489" s="129"/>
      <c r="Q489" s="127"/>
    </row>
    <row r="490" spans="1:17" ht="12.75">
      <c r="A490" s="73" t="s">
        <v>327</v>
      </c>
      <c r="B490" s="168"/>
      <c r="C490" s="194"/>
      <c r="D490" s="195">
        <v>10</v>
      </c>
      <c r="E490" s="195"/>
      <c r="F490" s="246">
        <f t="shared" si="73"/>
        <v>10</v>
      </c>
      <c r="G490" s="228"/>
      <c r="H490" s="7"/>
      <c r="I490" s="51"/>
      <c r="J490" s="50"/>
      <c r="K490" s="7"/>
      <c r="L490" s="51"/>
      <c r="M490" s="50"/>
      <c r="N490" s="7"/>
      <c r="O490" s="51"/>
      <c r="P490" s="129"/>
      <c r="Q490" s="127"/>
    </row>
    <row r="491" spans="1:17" ht="13.5" thickBot="1">
      <c r="A491" s="84" t="s">
        <v>152</v>
      </c>
      <c r="B491" s="169"/>
      <c r="C491" s="185">
        <v>5900.9</v>
      </c>
      <c r="D491" s="186">
        <f>94.04+141.22</f>
        <v>235.26</v>
      </c>
      <c r="E491" s="186"/>
      <c r="F491" s="187">
        <f t="shared" si="73"/>
        <v>6136.16</v>
      </c>
      <c r="G491" s="17"/>
      <c r="H491" s="8"/>
      <c r="I491" s="53">
        <f>SUM(F491:H491)</f>
        <v>6136.16</v>
      </c>
      <c r="J491" s="52"/>
      <c r="K491" s="8"/>
      <c r="L491" s="121">
        <f>SUM(I491:K491)</f>
        <v>6136.16</v>
      </c>
      <c r="M491" s="52"/>
      <c r="N491" s="8"/>
      <c r="O491" s="53">
        <f>SUM(L491:N491)</f>
        <v>6136.16</v>
      </c>
      <c r="P491" s="132"/>
      <c r="Q491" s="63">
        <f>O491+P491</f>
        <v>6136.16</v>
      </c>
    </row>
    <row r="492" spans="1:17" ht="15.75" thickBot="1">
      <c r="A492" s="85" t="s">
        <v>153</v>
      </c>
      <c r="B492" s="172"/>
      <c r="C492" s="236">
        <f>C101+C120+C143+C162+C171+C189+C201+C223+C267+C287+C355+C381+C402+C409+C437+C441+C491+C416+C303</f>
        <v>3640237.9</v>
      </c>
      <c r="D492" s="214">
        <f>D101+D120+D143+D162+D171+D189+D201+D223+D267+D287+D355+D381+D402+D409+D437+D441+D491+D416+D303</f>
        <v>7890707.289999998</v>
      </c>
      <c r="E492" s="214">
        <f>E101+E120+E143+E162+E171+E189+E201+E223+E267+E287+E355+E381+E402+E409+E437+E441+E491+E416+E303</f>
        <v>1800</v>
      </c>
      <c r="F492" s="211">
        <f>F101+F120+F143+F162+F171+F189+F201+F223+F267+F287+F355+F381+F402+F409+F437+F441+F491+F416+F303</f>
        <v>11532745.190000001</v>
      </c>
      <c r="G492" s="149" t="e">
        <f>G101+G120+G143+G162+G171+#REF!+G189+G201+G223+G267+G287+G355+G381+G402+G409+G437+G441+G491</f>
        <v>#REF!</v>
      </c>
      <c r="H492" s="18" t="e">
        <f>H101+H120+H143+H162+H171+#REF!+H189+H201+H223+H267+H287+H355+H381+H402+H409+H437+H441+H491</f>
        <v>#REF!</v>
      </c>
      <c r="I492" s="19" t="e">
        <f>I101+I120+I143+I162+I171+#REF!+I189+I201+I223+I267+I287+I355+I381+I402+I409+I437+I441+I491</f>
        <v>#REF!</v>
      </c>
      <c r="J492" s="40" t="e">
        <f>J101+J120+J143+J162+J171+#REF!+J189+J201+J223+J267+J287+J355+J381+J402+J409+J437+J441+J491</f>
        <v>#REF!</v>
      </c>
      <c r="K492" s="18" t="e">
        <f>K101+K120+K143+K162+K171+#REF!+K189+K201+K223+K267+K287+K355+K381+K402+K409+K437+K441+K491</f>
        <v>#REF!</v>
      </c>
      <c r="L492" s="19" t="e">
        <f>L101+L120+L143+L162+L171+#REF!+L189+L201+L223+L267+L287+L355+L381+L402+L409+L437+L441+L491</f>
        <v>#REF!</v>
      </c>
      <c r="M492" s="40" t="e">
        <f>M101+M120+M143+M162+M171+#REF!+M189+M201+M223+M267+M287+M355+M381+M402+M409+M437+M441+M491</f>
        <v>#REF!</v>
      </c>
      <c r="N492" s="18" t="e">
        <f>N101+N120+N143+N162+N171+#REF!+N189+N201+N223+N267+N287+N355+N381+N402+N409+N437+N441+N491</f>
        <v>#REF!</v>
      </c>
      <c r="O492" s="19" t="e">
        <f>O101+O120+O143+O162+O171+#REF!+O189+O201+O223+O267+O287+O355+O381+O402+O409+O437+O441+O491</f>
        <v>#REF!</v>
      </c>
      <c r="P492" s="136" t="e">
        <f>P101+P120+P143+P162+P171+#REF!+P189+P201+P223+P267+P287+P355+P381+P402+P409+P437+P441+P491</f>
        <v>#REF!</v>
      </c>
      <c r="Q492" s="109" t="e">
        <f>Q101+Q120+Q143+Q162+Q171+#REF!+Q189+Q201+Q223+Q267+Q287+Q355+Q381+Q402+Q409+Q437+Q441+Q491</f>
        <v>#REF!</v>
      </c>
    </row>
    <row r="493" spans="1:17" ht="13.5" thickBot="1">
      <c r="A493" s="86" t="s">
        <v>154</v>
      </c>
      <c r="B493" s="172"/>
      <c r="C493" s="237">
        <v>-5900.9</v>
      </c>
      <c r="D493" s="215">
        <f>-94.04-141.22</f>
        <v>-235.26</v>
      </c>
      <c r="E493" s="215"/>
      <c r="F493" s="205">
        <f>SUM(C493:E493)</f>
        <v>-6136.16</v>
      </c>
      <c r="G493" s="150"/>
      <c r="H493" s="20"/>
      <c r="I493" s="21">
        <f>SUM(F493:H493)</f>
        <v>-6136.16</v>
      </c>
      <c r="J493" s="41"/>
      <c r="K493" s="20"/>
      <c r="L493" s="21">
        <f>SUM(I493:K493)</f>
        <v>-6136.16</v>
      </c>
      <c r="M493" s="41"/>
      <c r="N493" s="20"/>
      <c r="O493" s="21">
        <f>SUM(L493:N493)</f>
        <v>-6136.16</v>
      </c>
      <c r="P493" s="129"/>
      <c r="Q493" s="126">
        <f t="shared" si="75"/>
        <v>-6136.16</v>
      </c>
    </row>
    <row r="494" spans="1:17" ht="16.5" thickBot="1">
      <c r="A494" s="87" t="s">
        <v>155</v>
      </c>
      <c r="B494" s="172"/>
      <c r="C494" s="238">
        <f aca="true" t="shared" si="79" ref="C494:L494">C492+C493</f>
        <v>3634337</v>
      </c>
      <c r="D494" s="216">
        <f>D492+D493</f>
        <v>7890472.029999998</v>
      </c>
      <c r="E494" s="216">
        <f>E492+E493</f>
        <v>1800</v>
      </c>
      <c r="F494" s="206">
        <f>F492+F493</f>
        <v>11526609.030000001</v>
      </c>
      <c r="G494" s="151" t="e">
        <f t="shared" si="79"/>
        <v>#REF!</v>
      </c>
      <c r="H494" s="22" t="e">
        <f t="shared" si="79"/>
        <v>#REF!</v>
      </c>
      <c r="I494" s="23" t="e">
        <f t="shared" si="79"/>
        <v>#REF!</v>
      </c>
      <c r="J494" s="42" t="e">
        <f t="shared" si="79"/>
        <v>#REF!</v>
      </c>
      <c r="K494" s="22" t="e">
        <f t="shared" si="79"/>
        <v>#REF!</v>
      </c>
      <c r="L494" s="23" t="e">
        <f t="shared" si="79"/>
        <v>#REF!</v>
      </c>
      <c r="M494" s="42" t="e">
        <f>M492+M493</f>
        <v>#REF!</v>
      </c>
      <c r="N494" s="22" t="e">
        <f>N492+N493</f>
        <v>#REF!</v>
      </c>
      <c r="O494" s="23" t="e">
        <f>O492+O493</f>
        <v>#REF!</v>
      </c>
      <c r="P494" s="137" t="e">
        <f>P492+P493</f>
        <v>#REF!</v>
      </c>
      <c r="Q494" s="110" t="e">
        <f>Q492+Q493</f>
        <v>#REF!</v>
      </c>
    </row>
    <row r="495" spans="1:17" ht="15.75">
      <c r="A495" s="88" t="s">
        <v>33</v>
      </c>
      <c r="B495" s="173"/>
      <c r="C495" s="239"/>
      <c r="D495" s="217"/>
      <c r="E495" s="217"/>
      <c r="F495" s="207"/>
      <c r="G495" s="146"/>
      <c r="H495" s="24"/>
      <c r="I495" s="25"/>
      <c r="J495" s="26"/>
      <c r="K495" s="24"/>
      <c r="L495" s="25"/>
      <c r="M495" s="26"/>
      <c r="N495" s="24"/>
      <c r="O495" s="25"/>
      <c r="P495" s="129"/>
      <c r="Q495" s="127"/>
    </row>
    <row r="496" spans="1:17" ht="15.75">
      <c r="A496" s="89" t="s">
        <v>305</v>
      </c>
      <c r="B496" s="174"/>
      <c r="C496" s="240">
        <f>C102+C121+C144+C163+C172+C190+C202+C224+C268+C288+C356+C382+C403+C410+C438+C443+C491+C493+C417+C304</f>
        <v>2914638</v>
      </c>
      <c r="D496" s="218">
        <f>D102+D121+D144+D163+D172+D190+D202+D224+D268+D288+D356+D382+D403+D410+D438+D443+D491+D493+D417+D304</f>
        <v>6261650.049999999</v>
      </c>
      <c r="E496" s="218">
        <f>E102+E121+E144+E163+E172+E190+E202+E224+E268+E288+E356+E382+E403+E410+E438+E443+E491+E493+E417+E304</f>
        <v>4738.1</v>
      </c>
      <c r="F496" s="212">
        <f>F102+F121+F144+F163+F172+F190+F202+F224+F268+F288+F356+F382+F403+F410+F438+F443+F491+F493+F417+F304</f>
        <v>9181026.149999999</v>
      </c>
      <c r="G496" s="147" t="e">
        <f>G102+G121+G144+G163+G172+#REF!+G190+G202+G224+G268+G288+G356+G382+G403+G410+G438+G443+G491+G493</f>
        <v>#REF!</v>
      </c>
      <c r="H496" s="104" t="e">
        <f>H102+H121+H144+H163+H172+#REF!+H190+H202+H224+H268+H288+H356+H382+H403+H410+H438+H443+H491+H493</f>
        <v>#REF!</v>
      </c>
      <c r="I496" s="28" t="e">
        <f>I102+I121+I144+I163+I172+#REF!+I190+I202+I224+I268+I288+I356+I382+I403+I410+I438+I443+I491+I493</f>
        <v>#REF!</v>
      </c>
      <c r="J496" s="29" t="e">
        <f>J102+J121+J144+J163+J172+#REF!+J190+J202+J224+J268+J288+J356+J382+J403+J410+J438+J443+J491+J493</f>
        <v>#REF!</v>
      </c>
      <c r="K496" s="27" t="e">
        <f>K102+K121+K144+K163+K172+#REF!+K190+K202+K224+K268+K288+K356+K382+K403+K410+K438+K443+K491+K493</f>
        <v>#REF!</v>
      </c>
      <c r="L496" s="28" t="e">
        <f>L102+L121+L144+L163+L172+#REF!+L190+L202+L224+L268+L288+L356+L382+L403+L410+L438+L443+L491+L493</f>
        <v>#REF!</v>
      </c>
      <c r="M496" s="29"/>
      <c r="N496" s="27" t="e">
        <f>N102+N121+N144+N163+N172+#REF!+N190+N202+N224+N268+N288+N356+N382+N403+N410+N438+N443+N491+N493</f>
        <v>#REF!</v>
      </c>
      <c r="O496" s="28" t="e">
        <f>O102+O121+O144+O163+O172+#REF!+O190+O202+O224+O268+O288+O356+O382+O403+O410+O438+O443+O491+O493</f>
        <v>#REF!</v>
      </c>
      <c r="P496" s="138" t="e">
        <f>P102+P121+P144+P163+P172+#REF!+P190+P202+P224+P268+P288+P356+P382+P403+P410+P438+P443+P491+P493</f>
        <v>#REF!</v>
      </c>
      <c r="Q496" s="111" t="e">
        <f>Q102+Q121+Q144+Q163+Q172+#REF!+Q190+Q202+Q224+Q268+Q288+Q356+Q382+Q403+Q410+Q438+Q443+Q491+Q493</f>
        <v>#REF!</v>
      </c>
    </row>
    <row r="497" spans="1:17" ht="16.5" thickBot="1">
      <c r="A497" s="75" t="s">
        <v>306</v>
      </c>
      <c r="B497" s="175"/>
      <c r="C497" s="241">
        <f>C114+C139+C153+C168+C184+C195+C216+C260+C280+C297+C376+C393+C406+C444+C431+C328</f>
        <v>719699</v>
      </c>
      <c r="D497" s="219">
        <f>D114+D139+D153+D168+D184+D195+D216+D260+D280+D297+D376+D393+D406+D444+D431+D328</f>
        <v>1628821.98</v>
      </c>
      <c r="E497" s="219">
        <f>E114+E139+E153+E168+E184+E195+E216+E260+E280+E297+E376+E393+E406+E444+E431+E328</f>
        <v>-2938.1</v>
      </c>
      <c r="F497" s="213">
        <f>F114+F139+F153+F168+F184+F195+F216+F260+F280+F297+F376+F393+F406+F444+F431+F328</f>
        <v>2345582.88</v>
      </c>
      <c r="G497" s="148" t="e">
        <f>G114+G139+G153+G168+G184+#REF!+G195+G216+G260+G280+G297+G376+G393+G406+G444</f>
        <v>#REF!</v>
      </c>
      <c r="H497" s="30" t="e">
        <f>H114+H139+H153+H168+H184+#REF!+H195+H216+H260+H280+H297+H376+H393+H406+H444</f>
        <v>#REF!</v>
      </c>
      <c r="I497" s="31" t="e">
        <f>I114+I139+I153+I168+I184+#REF!+I195+I216+I260+I280+I297+I376+I393+I406+I444</f>
        <v>#REF!</v>
      </c>
      <c r="J497" s="32" t="e">
        <f>J114+J139+J153+J168+J184+#REF!+J195+J216+J260+J280+J297+J376+J393+J406+J444</f>
        <v>#REF!</v>
      </c>
      <c r="K497" s="30" t="e">
        <f>K114+K139+K153+K168+K184+#REF!+K195+K216+K260+K280+K297+K376+K393+K406+K444</f>
        <v>#REF!</v>
      </c>
      <c r="L497" s="31" t="e">
        <f>L114+L139+L153+L168+L184+#REF!+L195+L216+L260+L280+L297+L376+L393+L406+L444</f>
        <v>#REF!</v>
      </c>
      <c r="M497" s="32" t="e">
        <f>M114+M139+M153+M168+M184+#REF!+M195+M216+M260+M280+M297+M376+M393+M406+M444</f>
        <v>#REF!</v>
      </c>
      <c r="N497" s="30" t="e">
        <f>N114+N139+N153+N168+N184+#REF!+N195+N216+N260+N280+N297+N376+N393+N406+N444</f>
        <v>#REF!</v>
      </c>
      <c r="O497" s="31" t="e">
        <f>O114+O139+O153+O168+O184+#REF!+O195+O216+O260+O280+O297+O376+O393+O406+O444</f>
        <v>#REF!</v>
      </c>
      <c r="P497" s="139" t="e">
        <f>P114+P139+P153+P168+P184+#REF!+P195+P216+P260+P280+P297+P376+P393+P406+P444</f>
        <v>#REF!</v>
      </c>
      <c r="Q497" s="112" t="e">
        <f>Q114+Q139+Q153+Q168+Q184+#REF!+Q195+Q216+Q260+Q280+Q297+Q376+Q393+Q406+Q444</f>
        <v>#REF!</v>
      </c>
    </row>
    <row r="498" spans="1:17" ht="16.5" thickBot="1">
      <c r="A498" s="89" t="s">
        <v>296</v>
      </c>
      <c r="B498" s="174"/>
      <c r="C498" s="258">
        <f>C99-C494</f>
        <v>262500</v>
      </c>
      <c r="D498" s="214">
        <f>D99-D494</f>
        <v>-1946909.8299999982</v>
      </c>
      <c r="E498" s="259">
        <f>E99-E494</f>
        <v>0</v>
      </c>
      <c r="F498" s="211">
        <f>F99-F494</f>
        <v>-1684409.830000002</v>
      </c>
      <c r="G498" s="147"/>
      <c r="H498" s="27"/>
      <c r="I498" s="28"/>
      <c r="J498" s="29"/>
      <c r="K498" s="27"/>
      <c r="L498" s="28"/>
      <c r="M498" s="29"/>
      <c r="N498" s="27"/>
      <c r="O498" s="28"/>
      <c r="P498" s="138"/>
      <c r="Q498" s="111"/>
    </row>
    <row r="499" spans="1:17" ht="15.75">
      <c r="A499" s="88" t="s">
        <v>307</v>
      </c>
      <c r="B499" s="173"/>
      <c r="C499" s="242">
        <f aca="true" t="shared" si="80" ref="C499:Q499">SUM(C501:C504)</f>
        <v>-262500</v>
      </c>
      <c r="D499" s="220">
        <f t="shared" si="80"/>
        <v>1946909.8300000003</v>
      </c>
      <c r="E499" s="220">
        <f t="shared" si="80"/>
        <v>0</v>
      </c>
      <c r="F499" s="208">
        <f t="shared" si="80"/>
        <v>1684409.8300000003</v>
      </c>
      <c r="G499" s="152">
        <f t="shared" si="80"/>
        <v>0</v>
      </c>
      <c r="H499" s="33">
        <f t="shared" si="80"/>
        <v>0</v>
      </c>
      <c r="I499" s="34">
        <f t="shared" si="80"/>
        <v>1684409.8300000003</v>
      </c>
      <c r="J499" s="35">
        <f t="shared" si="80"/>
        <v>0</v>
      </c>
      <c r="K499" s="33">
        <f t="shared" si="80"/>
        <v>0</v>
      </c>
      <c r="L499" s="34">
        <f t="shared" si="80"/>
        <v>1684409.8300000003</v>
      </c>
      <c r="M499" s="35">
        <f t="shared" si="80"/>
        <v>0</v>
      </c>
      <c r="N499" s="33">
        <f t="shared" si="80"/>
        <v>0</v>
      </c>
      <c r="O499" s="34">
        <f t="shared" si="80"/>
        <v>1684409.8300000003</v>
      </c>
      <c r="P499" s="140">
        <f t="shared" si="80"/>
        <v>0</v>
      </c>
      <c r="Q499" s="36">
        <f t="shared" si="80"/>
        <v>1684409.8300000003</v>
      </c>
    </row>
    <row r="500" spans="1:17" ht="12.75" customHeight="1">
      <c r="A500" s="90" t="s">
        <v>33</v>
      </c>
      <c r="B500" s="176"/>
      <c r="C500" s="243"/>
      <c r="D500" s="221"/>
      <c r="E500" s="221"/>
      <c r="F500" s="209"/>
      <c r="G500" s="153"/>
      <c r="H500" s="37"/>
      <c r="I500" s="98"/>
      <c r="J500" s="43"/>
      <c r="K500" s="37"/>
      <c r="L500" s="98"/>
      <c r="M500" s="43"/>
      <c r="N500" s="37"/>
      <c r="O500" s="98"/>
      <c r="P500" s="129"/>
      <c r="Q500" s="127"/>
    </row>
    <row r="501" spans="1:17" ht="14.25" hidden="1">
      <c r="A501" s="90" t="s">
        <v>156</v>
      </c>
      <c r="B501" s="176"/>
      <c r="C501" s="266"/>
      <c r="D501" s="267"/>
      <c r="E501" s="267"/>
      <c r="F501" s="268">
        <f>SUM(C501:E501)</f>
        <v>0</v>
      </c>
      <c r="G501" s="154"/>
      <c r="H501" s="38"/>
      <c r="I501" s="98">
        <f>SUM(F501:H501)</f>
        <v>0</v>
      </c>
      <c r="J501" s="44"/>
      <c r="K501" s="38"/>
      <c r="L501" s="98">
        <f>SUM(I501:K501)</f>
        <v>0</v>
      </c>
      <c r="M501" s="44"/>
      <c r="N501" s="38"/>
      <c r="O501" s="98">
        <f>SUM(L501:N501)</f>
        <v>0</v>
      </c>
      <c r="P501" s="129"/>
      <c r="Q501" s="127">
        <f t="shared" si="75"/>
        <v>0</v>
      </c>
    </row>
    <row r="502" spans="1:17" ht="14.25">
      <c r="A502" s="91" t="s">
        <v>164</v>
      </c>
      <c r="B502" s="176"/>
      <c r="C502" s="266">
        <v>-262500</v>
      </c>
      <c r="D502" s="267"/>
      <c r="E502" s="267"/>
      <c r="F502" s="268">
        <f>SUM(C502:E502)</f>
        <v>-262500</v>
      </c>
      <c r="G502" s="154"/>
      <c r="H502" s="38"/>
      <c r="I502" s="98">
        <f>SUM(F502:H502)</f>
        <v>-262500</v>
      </c>
      <c r="J502" s="44"/>
      <c r="K502" s="38"/>
      <c r="L502" s="98">
        <f>SUM(I502:K502)</f>
        <v>-262500</v>
      </c>
      <c r="M502" s="44"/>
      <c r="N502" s="38"/>
      <c r="O502" s="98">
        <f>SUM(L502:N502)</f>
        <v>-262500</v>
      </c>
      <c r="P502" s="129"/>
      <c r="Q502" s="127">
        <f t="shared" si="75"/>
        <v>-262500</v>
      </c>
    </row>
    <row r="503" spans="1:17" ht="15" thickBot="1">
      <c r="A503" s="105" t="s">
        <v>157</v>
      </c>
      <c r="B503" s="177"/>
      <c r="C503" s="274"/>
      <c r="D503" s="269">
        <f>8552.18+5904.26+221084+537+841+291047.34+5560+35176.21+738685.02+10+73.37+15403.87+2205.35+7279.26+1042+20072.43+658.97+590.5+4465.69+7976.61+200+2736.03+349.73+1053.69+526367.02+1691.85+47346.45</f>
        <v>1946909.8300000003</v>
      </c>
      <c r="E503" s="269"/>
      <c r="F503" s="270">
        <f>SUM(C503:E503)</f>
        <v>1946909.8300000003</v>
      </c>
      <c r="G503" s="154"/>
      <c r="H503" s="38"/>
      <c r="I503" s="98">
        <f>SUM(F503:H503)</f>
        <v>1946909.8300000003</v>
      </c>
      <c r="J503" s="44"/>
      <c r="K503" s="38"/>
      <c r="L503" s="98">
        <f>SUM(I503:K503)</f>
        <v>1946909.8300000003</v>
      </c>
      <c r="M503" s="44"/>
      <c r="N503" s="38"/>
      <c r="O503" s="98">
        <f>SUM(L503:N503)</f>
        <v>1946909.8300000003</v>
      </c>
      <c r="P503" s="129"/>
      <c r="Q503" s="127">
        <f t="shared" si="75"/>
        <v>1946909.8300000003</v>
      </c>
    </row>
    <row r="504" spans="1:17" ht="15" hidden="1" thickBot="1">
      <c r="A504" s="105" t="s">
        <v>188</v>
      </c>
      <c r="B504" s="177"/>
      <c r="C504" s="271"/>
      <c r="D504" s="269" t="s">
        <v>263</v>
      </c>
      <c r="E504" s="269"/>
      <c r="F504" s="270">
        <f>SUM(C504:E504)</f>
        <v>0</v>
      </c>
      <c r="G504" s="235"/>
      <c r="H504" s="39"/>
      <c r="I504" s="100">
        <f>SUM(F504:H504)</f>
        <v>0</v>
      </c>
      <c r="J504" s="103">
        <v>0</v>
      </c>
      <c r="K504" s="39">
        <v>0</v>
      </c>
      <c r="L504" s="100">
        <f>SUM(I504:K504)</f>
        <v>0</v>
      </c>
      <c r="M504" s="103"/>
      <c r="N504" s="39"/>
      <c r="O504" s="100">
        <f>SUM(L504:N504)</f>
        <v>0</v>
      </c>
      <c r="P504" s="141"/>
      <c r="Q504" s="128">
        <f t="shared" si="75"/>
        <v>0</v>
      </c>
    </row>
    <row r="505" spans="2:17" ht="12.75">
      <c r="B505" s="178"/>
      <c r="C505" s="210">
        <f aca="true" t="shared" si="81" ref="C505:Q505">C99+C499-C494</f>
        <v>0</v>
      </c>
      <c r="D505" s="210">
        <f t="shared" si="81"/>
        <v>0</v>
      </c>
      <c r="E505" s="210">
        <f t="shared" si="81"/>
        <v>0</v>
      </c>
      <c r="F505" s="210">
        <f t="shared" si="81"/>
        <v>0</v>
      </c>
      <c r="G505" s="101" t="e">
        <f t="shared" si="81"/>
        <v>#REF!</v>
      </c>
      <c r="H505" s="101" t="e">
        <f t="shared" si="81"/>
        <v>#REF!</v>
      </c>
      <c r="I505" s="101" t="e">
        <f t="shared" si="81"/>
        <v>#REF!</v>
      </c>
      <c r="J505" s="101" t="e">
        <f t="shared" si="81"/>
        <v>#REF!</v>
      </c>
      <c r="K505" s="101" t="e">
        <f t="shared" si="81"/>
        <v>#REF!</v>
      </c>
      <c r="L505" s="101" t="e">
        <f t="shared" si="81"/>
        <v>#REF!</v>
      </c>
      <c r="M505" s="101" t="e">
        <f t="shared" si="81"/>
        <v>#REF!</v>
      </c>
      <c r="N505" s="101" t="e">
        <f t="shared" si="81"/>
        <v>#REF!</v>
      </c>
      <c r="O505" s="101" t="e">
        <f t="shared" si="81"/>
        <v>#REF!</v>
      </c>
      <c r="P505" s="101" t="e">
        <f t="shared" si="81"/>
        <v>#REF!</v>
      </c>
      <c r="Q505" s="101" t="e">
        <f t="shared" si="81"/>
        <v>#REF!</v>
      </c>
    </row>
    <row r="506" spans="2:16" ht="12.75">
      <c r="B506" s="178"/>
      <c r="P506" s="101"/>
    </row>
    <row r="507" spans="2:16" ht="12.75">
      <c r="B507" s="178"/>
      <c r="D507" s="257"/>
      <c r="P507" s="101"/>
    </row>
    <row r="508" spans="2:16" ht="12.75">
      <c r="B508" s="178"/>
      <c r="P508" s="101"/>
    </row>
    <row r="509" spans="2:16" ht="12.75">
      <c r="B509" s="178"/>
      <c r="P509" s="101"/>
    </row>
    <row r="510" spans="2:16" ht="12.75">
      <c r="B510" s="178"/>
      <c r="P510" s="101"/>
    </row>
    <row r="511" spans="2:16" ht="12.75">
      <c r="B511" s="178"/>
      <c r="P511" s="101"/>
    </row>
    <row r="512" spans="2:16" ht="12.75">
      <c r="B512" s="178"/>
      <c r="P512" s="101"/>
    </row>
    <row r="513" spans="2:16" ht="12.75">
      <c r="B513" s="178"/>
      <c r="P513" s="101"/>
    </row>
    <row r="514" spans="2:16" ht="12.75">
      <c r="B514" s="178"/>
      <c r="P514" s="101"/>
    </row>
    <row r="515" spans="2:16" ht="12.75">
      <c r="B515" s="178"/>
      <c r="P515" s="101"/>
    </row>
    <row r="516" spans="2:16" ht="12.75">
      <c r="B516" s="178"/>
      <c r="P516" s="101"/>
    </row>
    <row r="517" spans="2:16" ht="12.75">
      <c r="B517" s="178"/>
      <c r="P517" s="101"/>
    </row>
    <row r="518" spans="2:16" ht="12.75">
      <c r="B518" s="178"/>
      <c r="P518" s="101"/>
    </row>
    <row r="519" spans="2:16" ht="12.75">
      <c r="B519" s="178"/>
      <c r="P519" s="101"/>
    </row>
    <row r="520" spans="2:16" ht="12.75">
      <c r="B520" s="178"/>
      <c r="P520" s="101"/>
    </row>
    <row r="521" spans="2:16" ht="12.75">
      <c r="B521" s="178"/>
      <c r="P521" s="101"/>
    </row>
    <row r="522" spans="2:16" ht="12.75">
      <c r="B522" s="178"/>
      <c r="P522" s="101"/>
    </row>
    <row r="523" spans="2:16" ht="12.75">
      <c r="B523" s="178"/>
      <c r="P523" s="101"/>
    </row>
    <row r="524" spans="2:16" ht="12.75">
      <c r="B524" s="178"/>
      <c r="P524" s="101"/>
    </row>
    <row r="525" ht="12.75">
      <c r="P525" s="101"/>
    </row>
    <row r="526" ht="12.75">
      <c r="P526" s="101"/>
    </row>
    <row r="527" ht="12.75">
      <c r="P527" s="101"/>
    </row>
    <row r="528" ht="12.75">
      <c r="P528" s="101"/>
    </row>
    <row r="529" ht="12.75">
      <c r="P529" s="101"/>
    </row>
    <row r="530" ht="12.75">
      <c r="P530" s="101"/>
    </row>
    <row r="531" ht="12.75">
      <c r="P531" s="101"/>
    </row>
    <row r="532" ht="12.75">
      <c r="P532" s="101"/>
    </row>
    <row r="533" ht="12.75">
      <c r="P533" s="101"/>
    </row>
    <row r="534" ht="12.75">
      <c r="P534" s="101"/>
    </row>
    <row r="535" ht="12.75">
      <c r="P535" s="101"/>
    </row>
    <row r="536" ht="12.75">
      <c r="P536" s="101"/>
    </row>
    <row r="537" ht="12.75">
      <c r="P537" s="101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3937007874015748" right="0.1968503937007874" top="0.7086614173228347" bottom="0.3937007874015748" header="0.5118110236220472" footer="0.11811023622047245"/>
  <pageSetup horizontalDpi="600" verticalDpi="600" orientation="portrait" paperSize="9" scale="91" r:id="rId1"/>
  <headerFooter alignWithMargins="0">
    <oddFooter>&amp;CStránka &amp;P</oddFooter>
  </headerFooter>
  <rowBreaks count="5" manualBreakCount="5">
    <brk id="113" max="5" man="1"/>
    <brk id="200" max="5" man="1"/>
    <brk id="293" max="5" man="1"/>
    <brk id="380" max="5" man="1"/>
    <brk id="4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378</cp:lastModifiedBy>
  <cp:lastPrinted>2017-03-29T11:45:27Z</cp:lastPrinted>
  <dcterms:created xsi:type="dcterms:W3CDTF">2009-01-05T12:05:07Z</dcterms:created>
  <dcterms:modified xsi:type="dcterms:W3CDTF">2017-04-04T08:04:48Z</dcterms:modified>
  <cp:category/>
  <cp:version/>
  <cp:contentType/>
  <cp:contentStatus/>
</cp:coreProperties>
</file>