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4. ZR" sheetId="1" r:id="rId1"/>
  </sheets>
  <definedNames>
    <definedName name="_xlnm.Print_Titles" localSheetId="0">'4. ZR'!$8:$9</definedName>
    <definedName name="_xlnm.Print_Area" localSheetId="0">'4. ZR'!$A$1:$O$545</definedName>
    <definedName name="Z_39FD50E0_9911_4D32_8842_5A58F13D310F_.wvu.Cols" localSheetId="0" hidden="1">'4. ZR'!$D:$K,'4. ZR'!$N:$N,'4. ZR'!#REF!</definedName>
    <definedName name="Z_39FD50E0_9911_4D32_8842_5A58F13D310F_.wvu.PrintTitles" localSheetId="0" hidden="1">'4. ZR'!$8:$9</definedName>
    <definedName name="Z_39FD50E0_9911_4D32_8842_5A58F13D310F_.wvu.Rows" localSheetId="0" hidden="1">'4. ZR'!#REF!</definedName>
  </definedNames>
  <calcPr fullCalcOnLoad="1"/>
</workbook>
</file>

<file path=xl/sharedStrings.xml><?xml version="1.0" encoding="utf-8"?>
<sst xmlns="http://schemas.openxmlformats.org/spreadsheetml/2006/main" count="619" uniqueCount="402">
  <si>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</si>
  <si>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</si>
  <si>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</si>
  <si>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</si>
  <si>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</si>
  <si>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</si>
  <si>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</si>
  <si>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</si>
  <si>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</si>
  <si>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</si>
  <si>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</si>
  <si>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</si>
  <si>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</si>
  <si>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</si>
  <si>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</si>
  <si>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</si>
  <si>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</si>
  <si>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</si>
  <si>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</si>
  <si>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</si>
  <si>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</si>
  <si>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</si>
  <si>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</si>
  <si>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</si>
  <si>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</si>
  <si>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 xml:space="preserve">  odvětví školství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</si>
  <si>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</si>
  <si>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</si>
  <si>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</si>
  <si>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</si>
  <si>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</si>
  <si>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</si>
  <si>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</si>
  <si>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</si>
  <si>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</si>
  <si>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</si>
  <si>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</si>
  <si>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</si>
  <si>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</si>
  <si>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</si>
  <si>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</si>
  <si>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</si>
  <si>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</si>
  <si>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</si>
  <si>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</si>
  <si>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</si>
  <si>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</si>
  <si>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</si>
  <si>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</si>
  <si>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</si>
  <si>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</si>
  <si>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</si>
  <si>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</si>
  <si>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</si>
  <si>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</si>
  <si>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</si>
  <si>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</si>
  <si>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</si>
  <si>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</si>
  <si>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</si>
  <si>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</si>
  <si>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</si>
  <si>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</si>
  <si>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</si>
  <si>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</si>
  <si>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</si>
  <si>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</si>
  <si>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</si>
  <si>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</si>
  <si>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</si>
  <si>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</si>
  <si>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</si>
  <si>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</si>
  <si>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</si>
  <si>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</si>
  <si>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</si>
  <si>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</si>
  <si>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</si>
  <si>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</si>
  <si>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</si>
  <si>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</si>
  <si>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</si>
  <si>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</si>
  <si>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</si>
  <si>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</si>
  <si>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</si>
  <si>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</si>
  <si>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</si>
  <si>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</si>
  <si>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</si>
  <si>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</si>
  <si>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</si>
  <si>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</si>
  <si>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</si>
  <si>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</si>
  <si>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</si>
  <si>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</si>
  <si>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kompenzační pomůcky - SR</t>
  </si>
  <si>
    <t>investiční transfery PO</t>
  </si>
  <si>
    <t>kap. 15 - zdravotnictví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</si>
  <si>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</si>
  <si>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</si>
  <si>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</si>
  <si>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</si>
  <si>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</si>
  <si>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</si>
  <si>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</si>
  <si>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</si>
  <si>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</si>
  <si>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</si>
  <si>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</si>
  <si>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</si>
  <si>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</si>
  <si>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</si>
  <si>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</si>
  <si>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</si>
  <si>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</si>
  <si>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</si>
  <si>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</si>
  <si>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</si>
  <si>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</si>
  <si>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</si>
  <si>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</si>
  <si>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</si>
  <si>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</si>
  <si>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</si>
  <si>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</si>
  <si>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</si>
  <si>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</si>
  <si>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</si>
  <si>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</si>
  <si>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</si>
  <si>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</si>
  <si>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</si>
  <si>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</si>
  <si>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</si>
  <si>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</si>
  <si>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</si>
  <si>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</si>
  <si>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</si>
  <si>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</si>
  <si>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</si>
  <si>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</si>
  <si>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</si>
  <si>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</si>
  <si>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</si>
  <si>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</si>
  <si>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</si>
  <si>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</si>
  <si>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</si>
  <si>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</si>
  <si>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</si>
  <si>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</si>
  <si>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</si>
  <si>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</si>
  <si>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</si>
  <si>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</si>
  <si>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</si>
  <si>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</si>
  <si>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</si>
  <si>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</si>
  <si>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</si>
  <si>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</si>
  <si>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</si>
  <si>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</si>
  <si>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</si>
  <si>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</si>
  <si>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</si>
  <si>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</si>
  <si>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</si>
  <si>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</si>
  <si>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</si>
  <si>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</si>
  <si>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</si>
  <si>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</si>
  <si>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</si>
  <si>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</si>
  <si>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</si>
  <si>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</si>
  <si>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</si>
  <si>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</si>
  <si>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</si>
  <si>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</si>
  <si>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</si>
  <si>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</si>
  <si>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</si>
  <si>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</si>
  <si>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kultura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</si>
  <si>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</si>
  <si>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</si>
  <si>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</si>
  <si>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</si>
  <si>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</si>
  <si>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</si>
  <si>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kap. 39 - regionální rozvoj a cestovní ruch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</si>
  <si>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</si>
  <si>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</si>
  <si>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</si>
  <si>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</si>
  <si>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</si>
  <si>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                 CIRI, PO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</si>
  <si>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</si>
  <si>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</si>
  <si>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</si>
  <si>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</si>
  <si>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</si>
  <si>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</si>
  <si>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</si>
  <si>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</si>
  <si>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</si>
  <si>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</si>
  <si>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</si>
  <si>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</si>
  <si>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 xml:space="preserve">                 správa majetku kraje</t>
  </si>
  <si>
    <t xml:space="preserve"> </t>
  </si>
  <si>
    <t xml:space="preserve">  z Úřadu práce</t>
  </si>
  <si>
    <t>odborná praxe pro mladé do 30 let v KHK - z Úřadu práce</t>
  </si>
  <si>
    <t>bezplatná výuka ČJ přizpůs.potřebám žáků-cizinců - SR</t>
  </si>
  <si>
    <t>regionální rozvoj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</si>
  <si>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</si>
  <si>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</si>
  <si>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</si>
  <si>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</si>
  <si>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</si>
  <si>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</si>
  <si>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</si>
  <si>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</si>
  <si>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</si>
  <si>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</si>
  <si>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</si>
  <si>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</si>
  <si>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</si>
  <si>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individuální dotace</t>
  </si>
  <si>
    <t>33122  33163</t>
  </si>
  <si>
    <t>výstavba válečného hrobu obětí prusko-rakouské války-SR</t>
  </si>
  <si>
    <t>podpora odborného vzdělávání - SR</t>
  </si>
  <si>
    <t>Digitální planetárium - zásobník na chlad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</si>
  <si>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</si>
  <si>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</si>
  <si>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</si>
  <si>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</si>
  <si>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</si>
  <si>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</si>
  <si>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</si>
  <si>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</si>
  <si>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</si>
  <si>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</si>
  <si>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</si>
  <si>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dotace na činnost - SR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</si>
  <si>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</si>
  <si>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</si>
  <si>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</si>
  <si>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</si>
  <si>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</si>
  <si>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</si>
  <si>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</si>
  <si>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</si>
  <si>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 xml:space="preserve">                 org. 2088</t>
  </si>
  <si>
    <t xml:space="preserve">                 org. 2077</t>
  </si>
  <si>
    <t xml:space="preserve">                 org. 2099</t>
  </si>
  <si>
    <t>průmyslová zóna Kvasiny - SR</t>
  </si>
  <si>
    <t xml:space="preserve">            školství - vzdělávání </t>
  </si>
  <si>
    <t xml:space="preserve">            školství - prevence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</si>
  <si>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</si>
  <si>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</si>
  <si>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</si>
  <si>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</si>
  <si>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</si>
  <si>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</si>
  <si>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</si>
  <si>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</si>
  <si>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</si>
  <si>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</si>
  <si>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>průmyslová zóna Solnice - Kvasiny</t>
  </si>
  <si>
    <t>ostatní běžné výdaje - poplatky</t>
  </si>
  <si>
    <t>volnočasové aktivity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</si>
  <si>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</si>
  <si>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</si>
  <si>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</si>
  <si>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</si>
  <si>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</si>
  <si>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</si>
  <si>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</si>
  <si>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</si>
  <si>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</si>
  <si>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</si>
  <si>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</si>
  <si>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</si>
  <si>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</si>
  <si>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 xml:space="preserve">platby za odebr. množství podzemní vody </t>
  </si>
  <si>
    <t>1101,2066,AU 54</t>
  </si>
  <si>
    <t>OP Z projekty PO - SR</t>
  </si>
  <si>
    <t xml:space="preserve">Snížení emisí z lokál.vytápění domácností v KHK II. - SR </t>
  </si>
  <si>
    <t>IP Přeshraniční spolupráce zdravotn. oborů - SR</t>
  </si>
  <si>
    <t>17051, 95113</t>
  </si>
  <si>
    <t>17988, 95823</t>
  </si>
  <si>
    <t>NA ROK 2019</t>
  </si>
  <si>
    <t>OP Z - Zaměstnaný absolvent - SR 2018</t>
  </si>
  <si>
    <t>OP VVV - Smart Akcelerátor - SR 2018</t>
  </si>
  <si>
    <t>OP Z - Predikce trhu práce - Kompas - SR 2018</t>
  </si>
  <si>
    <t>Snížení emisí z lokál.vytápění domácností v KHK I- SR 2018</t>
  </si>
  <si>
    <t>Snížení emisí z lokál.vytápění domácností v KHK II - SR 2018</t>
  </si>
  <si>
    <t>TP Interreg V-A ČR-Polsko - SR 2018</t>
  </si>
  <si>
    <t>Snížení emisí z lokál.vytápění domácností v KHK I - SR 2018</t>
  </si>
  <si>
    <t>Krajský akční plán vzdělávání v KHK - SR 2018</t>
  </si>
  <si>
    <t>IKAP rozvoje vzdělávání v KHK - SR 2018</t>
  </si>
  <si>
    <t xml:space="preserve">             krajský úřad</t>
  </si>
  <si>
    <t xml:space="preserve">                 krajský úřad</t>
  </si>
  <si>
    <t xml:space="preserve">            kultura a památková péče</t>
  </si>
  <si>
    <t xml:space="preserve">            volnočasové aktivity</t>
  </si>
  <si>
    <t>částeční vyrovnání mezikr.rozdílů v odměňování ped.pracovníků-SR</t>
  </si>
  <si>
    <t>OP VVV - projekty PO - SR</t>
  </si>
  <si>
    <t>modernizace VOŠ a SPŠ Rychnov n.K. - II. etapa - SR</t>
  </si>
  <si>
    <t>OP Z Rozvoj reg.partnerství v soc.oblasti v KHK - SR 2018</t>
  </si>
  <si>
    <t>OP Z Rozvoj dostup.a kvality soc.sl.v KHK V - SR 2018</t>
  </si>
  <si>
    <t>OP Z Služby soc.prevence v KHK IV - SR  2018</t>
  </si>
  <si>
    <t>OP Z Služby soc.prevence v KHK V - SR  2018</t>
  </si>
  <si>
    <t>OP Z - Rozvoj KHK-chytře, efektivně, s prosperitou - SR 2018</t>
  </si>
  <si>
    <t xml:space="preserve">OP Z Rozvoj dostup.a kvality soc.sl.v KHK VI - SR </t>
  </si>
  <si>
    <t>řešení mimoř.událostí a kriz.situací ZZS KHK - SR</t>
  </si>
  <si>
    <t>podpora mládeže na krajské úrovni - SR</t>
  </si>
  <si>
    <t xml:space="preserve">              rezerva neinvestiční a poplatky</t>
  </si>
  <si>
    <t xml:space="preserve">IKAP rozvoje vzdělávání v KHK - SR </t>
  </si>
  <si>
    <t>98xxx</t>
  </si>
  <si>
    <t>33xxx</t>
  </si>
  <si>
    <t>13xxx</t>
  </si>
  <si>
    <t>17xxx</t>
  </si>
  <si>
    <t>35xxx</t>
  </si>
  <si>
    <t>27xxx</t>
  </si>
  <si>
    <t>15xxx</t>
  </si>
  <si>
    <t>91xxx</t>
  </si>
  <si>
    <t>14xxx</t>
  </si>
  <si>
    <t>95xxx</t>
  </si>
  <si>
    <t>04xxx</t>
  </si>
  <si>
    <t>90xxx</t>
  </si>
  <si>
    <t>22xxx</t>
  </si>
  <si>
    <t>07xxx</t>
  </si>
  <si>
    <t>97xxx</t>
  </si>
  <si>
    <t>ZOO</t>
  </si>
  <si>
    <t>AU 160</t>
  </si>
  <si>
    <t>překrývání přímé pedagogické činnosti učitelů v MŠ - SR</t>
  </si>
  <si>
    <t>podpora vzdělávání cizinců ve školách - SR</t>
  </si>
  <si>
    <t>pol.4152</t>
  </si>
  <si>
    <t>pol.4232</t>
  </si>
  <si>
    <t xml:space="preserve">OP Z - Predikce trhu práce - Kompas - SR </t>
  </si>
  <si>
    <t>podpora služeb s nadreg. či celostátní působností - SR</t>
  </si>
  <si>
    <t xml:space="preserve">OP Z Rozvoj reg.partnerství v soc.oblasti v KHK - SR </t>
  </si>
  <si>
    <t>ochrana veř.prostranství a objektů veř.správy-měkké cíle - SR</t>
  </si>
  <si>
    <t>zmírnění škod způsobených suchem na krmných plodinách-SR</t>
  </si>
  <si>
    <t xml:space="preserve">  z MZE</t>
  </si>
  <si>
    <t>29xxx</t>
  </si>
  <si>
    <t>Přeshraniční vzdělávání žáků technických oborů - SR</t>
  </si>
  <si>
    <t>Přeshraniční vzdělávání studentů zdravot. oborů - SR</t>
  </si>
  <si>
    <t>centrum duševního zdraví RIAPS - SR</t>
  </si>
  <si>
    <t>Biologie dětem - SR</t>
  </si>
  <si>
    <t>rozvoj lidských zdrojů v oblasti kriz.řízení ZZS KHK - SR</t>
  </si>
  <si>
    <t>projekt Jak zachraňujete u vás - pro ZZS KHK - SR</t>
  </si>
  <si>
    <t>34xxx</t>
  </si>
  <si>
    <t>kontaktní centrum a terénní služby na malém městě - SR</t>
  </si>
  <si>
    <t>AA RIAPS Trutnov - SR</t>
  </si>
  <si>
    <t>kultura a památková péče</t>
  </si>
  <si>
    <t xml:space="preserve">Snížení emisí z lokál.vytápění domácností v KHK III. - SR </t>
  </si>
  <si>
    <t xml:space="preserve">OP Z - Rozvoj KHK-chytře, efektivně, s prosperitou - SR </t>
  </si>
  <si>
    <t xml:space="preserve">OP VVV - Smart Akcelerátor - SR </t>
  </si>
  <si>
    <t>zlepšení přeshraniční dostupnosti ČR - PL - SR</t>
  </si>
  <si>
    <t xml:space="preserve">Krajský akční plán vzdělávání v KHK - SR </t>
  </si>
  <si>
    <t>spolufinancování poskytování služeb v oblasti stárnutí - SR</t>
  </si>
  <si>
    <t>podpora vybr.invest.podpůrných opatření pro děti se spec.potř.-SR</t>
  </si>
  <si>
    <t>podpora standard.veřejných služeb muzeí a galerií - SR</t>
  </si>
  <si>
    <t>podpora expozičních a výstavních projektů-SR</t>
  </si>
  <si>
    <t>podpora vých.vzděl.aktivit v muzejnictví - SR</t>
  </si>
  <si>
    <t>integrovaný systém ochrany movitého kult.dědictví - SR</t>
  </si>
  <si>
    <t xml:space="preserve">  z grantové agentury DZS</t>
  </si>
  <si>
    <t>pol.4119</t>
  </si>
  <si>
    <t>bez ÚZ</t>
  </si>
  <si>
    <t>RIAPS - Kontaktní centrum a terénní služby - SR</t>
  </si>
  <si>
    <t>35022, 35023</t>
  </si>
  <si>
    <t>podpora obnovy kulturních památek - SR</t>
  </si>
  <si>
    <t>3494x</t>
  </si>
  <si>
    <t>OP Z - Do praxe bez bariér - SR 2018</t>
  </si>
  <si>
    <t xml:space="preserve">OP Z - Do praxe bez bariér - SR </t>
  </si>
  <si>
    <t xml:space="preserve">potravinová pomoc dětem v KHK III.- obědy do škol - SR </t>
  </si>
  <si>
    <t xml:space="preserve">OP Z Rozvoj reg.partnerství v soc.oblasti v KHK II - SR </t>
  </si>
  <si>
    <t>volby do Evropského parlamentu - SR</t>
  </si>
  <si>
    <t>výkon sociální práce - SR</t>
  </si>
  <si>
    <t>projekt mobility osob v programu Erasmus - SR</t>
  </si>
  <si>
    <t>finan.ZŠ a SŠ při zavádění změny systému fin.RgŠ - SR</t>
  </si>
  <si>
    <t>projekty PO - SR</t>
  </si>
  <si>
    <t>revitalizace movitého a nemov.kulturního dědictví - SR</t>
  </si>
  <si>
    <t>vybavení šk.porad.zařízení diagnostickými nástroji</t>
  </si>
  <si>
    <t>pol.4121</t>
  </si>
  <si>
    <t>pol.4223</t>
  </si>
  <si>
    <t>platy zam.-projekt Potravin.deprivace dětí ve váž.soc.nouzi-SR</t>
  </si>
  <si>
    <t>org.a ukoč.stř.vzd.maturitní zk.ve vybr.šk.v podzim.obd. - SR</t>
  </si>
  <si>
    <t xml:space="preserve">OP Z Služby soc.prevence v KHK VI - SR  </t>
  </si>
  <si>
    <t>propoj.formál.a neformál.vzd.ve spolupr.s kultur./paměť.inst.-SR</t>
  </si>
  <si>
    <t xml:space="preserve">  od obcí a DSO</t>
  </si>
  <si>
    <t xml:space="preserve">OP Z Služby soc.prevence v KHK V - SR  </t>
  </si>
  <si>
    <t>potravinová pomoc dětem v KHK - obědy do škol II - SR 2018</t>
  </si>
  <si>
    <t>zvýšení atraktivity Královéhradeckého kraje 2 - SR</t>
  </si>
  <si>
    <t>podp.rozvoje a obnovy MTV pro řešení krizových situací - SR</t>
  </si>
  <si>
    <t>excelence základních škol - SR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</si>
</sst>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#,##0.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 style="thin"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5">
    <xf numFmtId="3" fontId="0" fillId="0" borderId="0" xfId="0" applyAlignment="1">
      <alignment/>
    </xf>
    <xf numFmtId="165" fontId="0" fillId="0" borderId="0" xfId="37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7" applyNumberFormat="1" applyFont="1" applyBorder="1" applyAlignment="1">
      <alignment horizontal="center"/>
    </xf>
    <xf numFmtId="165" fontId="4" fillId="0" borderId="11" xfId="37" applyNumberFormat="1" applyFont="1" applyBorder="1" applyAlignment="1">
      <alignment horizontal="center"/>
    </xf>
    <xf numFmtId="165" fontId="4" fillId="0" borderId="12" xfId="37" applyNumberFormat="1" applyFont="1" applyBorder="1" applyAlignment="1">
      <alignment horizontal="center"/>
    </xf>
    <xf numFmtId="165" fontId="4" fillId="0" borderId="13" xfId="37" applyNumberFormat="1" applyFont="1" applyBorder="1" applyAlignment="1">
      <alignment horizontal="center"/>
    </xf>
    <xf numFmtId="165" fontId="4" fillId="0" borderId="14" xfId="37" applyNumberFormat="1" applyFont="1" applyBorder="1" applyAlignment="1">
      <alignment horizontal="center"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5" xfId="0" applyFont="1" applyBorder="1" applyAlignment="1">
      <alignment/>
    </xf>
    <xf numFmtId="3" fontId="0" fillId="0" borderId="15" xfId="0" applyBorder="1" applyAlignment="1">
      <alignment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6" xfId="0" applyBorder="1" applyAlignment="1">
      <alignment/>
    </xf>
    <xf numFmtId="3" fontId="0" fillId="0" borderId="15" xfId="0" applyFont="1" applyBorder="1" applyAlignment="1">
      <alignment/>
    </xf>
    <xf numFmtId="3" fontId="2" fillId="0" borderId="17" xfId="0" applyFont="1" applyBorder="1" applyAlignment="1">
      <alignment vertical="center"/>
    </xf>
    <xf numFmtId="3" fontId="6" fillId="0" borderId="15" xfId="0" applyFont="1" applyBorder="1" applyAlignment="1">
      <alignment/>
    </xf>
    <xf numFmtId="3" fontId="6" fillId="0" borderId="15" xfId="0" applyFont="1" applyBorder="1" applyAlignment="1">
      <alignment/>
    </xf>
    <xf numFmtId="3" fontId="0" fillId="0" borderId="16" xfId="0" applyFont="1" applyBorder="1" applyAlignment="1">
      <alignment/>
    </xf>
    <xf numFmtId="3" fontId="7" fillId="0" borderId="15" xfId="0" applyFont="1" applyBorder="1" applyAlignment="1">
      <alignment/>
    </xf>
    <xf numFmtId="3" fontId="7" fillId="0" borderId="16" xfId="0" applyFont="1" applyBorder="1" applyAlignment="1">
      <alignment/>
    </xf>
    <xf numFmtId="3" fontId="0" fillId="0" borderId="16" xfId="0" applyFont="1" applyBorder="1" applyAlignment="1">
      <alignment/>
    </xf>
    <xf numFmtId="3" fontId="4" fillId="0" borderId="15" xfId="0" applyFont="1" applyFill="1" applyBorder="1" applyAlignment="1">
      <alignment/>
    </xf>
    <xf numFmtId="3" fontId="0" fillId="0" borderId="15" xfId="0" applyFill="1" applyBorder="1" applyAlignment="1">
      <alignment/>
    </xf>
    <xf numFmtId="3" fontId="4" fillId="0" borderId="17" xfId="0" applyFont="1" applyBorder="1" applyAlignment="1">
      <alignment/>
    </xf>
    <xf numFmtId="3" fontId="3" fillId="0" borderId="18" xfId="0" applyFont="1" applyBorder="1" applyAlignment="1">
      <alignment vertical="center"/>
    </xf>
    <xf numFmtId="3" fontId="4" fillId="0" borderId="18" xfId="0" applyFont="1" applyBorder="1" applyAlignment="1">
      <alignment vertical="center"/>
    </xf>
    <xf numFmtId="3" fontId="2" fillId="0" borderId="18" xfId="0" applyFont="1" applyBorder="1" applyAlignment="1">
      <alignment vertical="center"/>
    </xf>
    <xf numFmtId="3" fontId="2" fillId="0" borderId="19" xfId="0" applyFont="1" applyBorder="1" applyAlignment="1">
      <alignment vertical="center"/>
    </xf>
    <xf numFmtId="3" fontId="2" fillId="0" borderId="15" xfId="0" applyFont="1" applyBorder="1" applyAlignment="1">
      <alignment vertical="center"/>
    </xf>
    <xf numFmtId="3" fontId="0" fillId="0" borderId="15" xfId="0" applyFont="1" applyBorder="1" applyAlignment="1">
      <alignment vertical="center"/>
    </xf>
    <xf numFmtId="3" fontId="0" fillId="0" borderId="15" xfId="0" applyBorder="1" applyAlignment="1">
      <alignment vertical="center"/>
    </xf>
    <xf numFmtId="3" fontId="7" fillId="0" borderId="15" xfId="0" applyFont="1" applyBorder="1" applyAlignment="1">
      <alignment/>
    </xf>
    <xf numFmtId="3" fontId="4" fillId="0" borderId="15" xfId="0" applyFont="1" applyBorder="1" applyAlignment="1">
      <alignment horizontal="left" vertical="center"/>
    </xf>
    <xf numFmtId="165" fontId="4" fillId="0" borderId="20" xfId="37" applyNumberFormat="1" applyFont="1" applyBorder="1" applyAlignment="1">
      <alignment horizontal="center"/>
    </xf>
    <xf numFmtId="165" fontId="4" fillId="0" borderId="21" xfId="37" applyNumberFormat="1" applyFont="1" applyBorder="1" applyAlignment="1">
      <alignment horizontal="center"/>
    </xf>
    <xf numFmtId="165" fontId="4" fillId="0" borderId="22" xfId="37" applyNumberFormat="1" applyFont="1" applyBorder="1" applyAlignment="1">
      <alignment horizontal="center"/>
    </xf>
    <xf numFmtId="165" fontId="4" fillId="0" borderId="23" xfId="37" applyNumberFormat="1" applyFont="1" applyBorder="1" applyAlignment="1">
      <alignment horizontal="center"/>
    </xf>
    <xf numFmtId="3" fontId="46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17" xfId="0" applyBorder="1" applyAlignment="1">
      <alignment vertical="center"/>
    </xf>
    <xf numFmtId="3" fontId="47" fillId="0" borderId="0" xfId="0" applyFont="1" applyAlignment="1">
      <alignment/>
    </xf>
    <xf numFmtId="3" fontId="7" fillId="0" borderId="24" xfId="0" applyFont="1" applyBorder="1" applyAlignment="1">
      <alignment/>
    </xf>
    <xf numFmtId="165" fontId="4" fillId="0" borderId="25" xfId="37" applyNumberFormat="1" applyFont="1" applyBorder="1" applyAlignment="1">
      <alignment horizontal="center"/>
    </xf>
    <xf numFmtId="165" fontId="4" fillId="0" borderId="26" xfId="37" applyNumberFormat="1" applyFont="1" applyBorder="1" applyAlignment="1">
      <alignment horizontal="center"/>
    </xf>
    <xf numFmtId="3" fontId="0" fillId="0" borderId="14" xfId="0" applyBorder="1" applyAlignment="1">
      <alignment/>
    </xf>
    <xf numFmtId="3" fontId="0" fillId="0" borderId="27" xfId="0" applyBorder="1" applyAlignment="1">
      <alignment/>
    </xf>
    <xf numFmtId="3" fontId="4" fillId="0" borderId="28" xfId="0" applyFont="1" applyBorder="1" applyAlignment="1">
      <alignment horizontal="center" vertical="center"/>
    </xf>
    <xf numFmtId="3" fontId="4" fillId="0" borderId="24" xfId="0" applyFont="1" applyBorder="1" applyAlignment="1">
      <alignment horizontal="left" vertical="center"/>
    </xf>
    <xf numFmtId="3" fontId="4" fillId="0" borderId="24" xfId="0" applyFont="1" applyBorder="1" applyAlignment="1">
      <alignment/>
    </xf>
    <xf numFmtId="3" fontId="5" fillId="0" borderId="24" xfId="0" applyFont="1" applyBorder="1" applyAlignment="1">
      <alignment/>
    </xf>
    <xf numFmtId="3" fontId="0" fillId="0" borderId="24" xfId="0" applyFont="1" applyBorder="1" applyAlignment="1">
      <alignment/>
    </xf>
    <xf numFmtId="3" fontId="0" fillId="0" borderId="24" xfId="0" applyBorder="1" applyAlignment="1">
      <alignment/>
    </xf>
    <xf numFmtId="3" fontId="4" fillId="0" borderId="24" xfId="0" applyFont="1" applyBorder="1" applyAlignment="1">
      <alignment/>
    </xf>
    <xf numFmtId="3" fontId="5" fillId="0" borderId="24" xfId="0" applyFont="1" applyBorder="1" applyAlignment="1">
      <alignment/>
    </xf>
    <xf numFmtId="3" fontId="0" fillId="0" borderId="24" xfId="0" applyFont="1" applyBorder="1" applyAlignment="1">
      <alignment/>
    </xf>
    <xf numFmtId="3" fontId="2" fillId="0" borderId="29" xfId="0" applyFont="1" applyBorder="1" applyAlignment="1">
      <alignment vertical="center"/>
    </xf>
    <xf numFmtId="3" fontId="7" fillId="0" borderId="24" xfId="0" applyFont="1" applyBorder="1" applyAlignment="1">
      <alignment horizontal="center"/>
    </xf>
    <xf numFmtId="3" fontId="0" fillId="0" borderId="15" xfId="0" applyFont="1" applyBorder="1" applyAlignment="1">
      <alignment/>
    </xf>
    <xf numFmtId="3" fontId="9" fillId="0" borderId="24" xfId="0" applyFont="1" applyBorder="1" applyAlignment="1">
      <alignment/>
    </xf>
    <xf numFmtId="3" fontId="7" fillId="0" borderId="30" xfId="0" applyFont="1" applyBorder="1" applyAlignment="1">
      <alignment horizontal="center"/>
    </xf>
    <xf numFmtId="3" fontId="9" fillId="0" borderId="24" xfId="0" applyFont="1" applyBorder="1" applyAlignment="1">
      <alignment horizontal="center"/>
    </xf>
    <xf numFmtId="3" fontId="9" fillId="0" borderId="24" xfId="0" applyFont="1" applyFill="1" applyBorder="1" applyAlignment="1">
      <alignment horizontal="center"/>
    </xf>
    <xf numFmtId="3" fontId="7" fillId="0" borderId="24" xfId="0" applyFont="1" applyFill="1" applyBorder="1" applyAlignment="1">
      <alignment horizontal="center"/>
    </xf>
    <xf numFmtId="3" fontId="9" fillId="0" borderId="18" xfId="0" applyFont="1" applyBorder="1" applyAlignment="1">
      <alignment horizontal="center" vertical="center"/>
    </xf>
    <xf numFmtId="3" fontId="9" fillId="0" borderId="19" xfId="0" applyFont="1" applyBorder="1" applyAlignment="1">
      <alignment horizontal="center" vertical="center"/>
    </xf>
    <xf numFmtId="3" fontId="9" fillId="0" borderId="15" xfId="0" applyFont="1" applyBorder="1" applyAlignment="1">
      <alignment horizontal="center" vertical="center"/>
    </xf>
    <xf numFmtId="3" fontId="9" fillId="0" borderId="17" xfId="0" applyFont="1" applyBorder="1" applyAlignment="1">
      <alignment horizontal="center" vertical="center"/>
    </xf>
    <xf numFmtId="3" fontId="7" fillId="0" borderId="15" xfId="0" applyFont="1" applyBorder="1" applyAlignment="1">
      <alignment horizontal="center" vertical="center"/>
    </xf>
    <xf numFmtId="3" fontId="7" fillId="0" borderId="29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0" xfId="37" applyNumberFormat="1" applyFont="1" applyBorder="1" applyAlignment="1">
      <alignment/>
    </xf>
    <xf numFmtId="174" fontId="0" fillId="0" borderId="10" xfId="37" applyNumberFormat="1" applyFont="1" applyBorder="1" applyAlignment="1">
      <alignment/>
    </xf>
    <xf numFmtId="174" fontId="4" fillId="0" borderId="10" xfId="37" applyNumberFormat="1" applyFont="1" applyBorder="1" applyAlignment="1">
      <alignment/>
    </xf>
    <xf numFmtId="174" fontId="2" fillId="0" borderId="22" xfId="37" applyNumberFormat="1" applyFont="1" applyBorder="1" applyAlignment="1">
      <alignment vertical="center"/>
    </xf>
    <xf numFmtId="174" fontId="6" fillId="0" borderId="10" xfId="37" applyNumberFormat="1" applyFont="1" applyBorder="1" applyAlignment="1">
      <alignment/>
    </xf>
    <xf numFmtId="174" fontId="0" fillId="0" borderId="31" xfId="37" applyNumberFormat="1" applyFont="1" applyBorder="1" applyAlignment="1">
      <alignment/>
    </xf>
    <xf numFmtId="174" fontId="6" fillId="0" borderId="10" xfId="37" applyNumberFormat="1" applyFont="1" applyBorder="1" applyAlignment="1">
      <alignment/>
    </xf>
    <xf numFmtId="174" fontId="0" fillId="0" borderId="10" xfId="37" applyNumberFormat="1" applyFont="1" applyFill="1" applyBorder="1" applyAlignment="1">
      <alignment/>
    </xf>
    <xf numFmtId="174" fontId="2" fillId="0" borderId="32" xfId="37" applyNumberFormat="1" applyFont="1" applyBorder="1" applyAlignment="1">
      <alignment vertical="center"/>
    </xf>
    <xf numFmtId="174" fontId="3" fillId="0" borderId="13" xfId="37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3" fillId="0" borderId="32" xfId="37" applyNumberFormat="1" applyFont="1" applyBorder="1" applyAlignment="1">
      <alignment vertical="center"/>
    </xf>
    <xf numFmtId="174" fontId="3" fillId="0" borderId="20" xfId="37" applyNumberFormat="1" applyFont="1" applyBorder="1" applyAlignment="1">
      <alignment vertical="center"/>
    </xf>
    <xf numFmtId="174" fontId="3" fillId="0" borderId="23" xfId="37" applyNumberFormat="1" applyFont="1" applyBorder="1" applyAlignment="1">
      <alignment vertical="center"/>
    </xf>
    <xf numFmtId="174" fontId="3" fillId="0" borderId="33" xfId="37" applyNumberFormat="1" applyFont="1" applyBorder="1" applyAlignment="1">
      <alignment vertical="center"/>
    </xf>
    <xf numFmtId="174" fontId="3" fillId="0" borderId="12" xfId="37" applyNumberFormat="1" applyFont="1" applyBorder="1" applyAlignment="1">
      <alignment vertical="center"/>
    </xf>
    <xf numFmtId="174" fontId="3" fillId="0" borderId="10" xfId="37" applyNumberFormat="1" applyFont="1" applyBorder="1" applyAlignment="1">
      <alignment vertical="center"/>
    </xf>
    <xf numFmtId="174" fontId="3" fillId="0" borderId="22" xfId="37" applyNumberFormat="1" applyFont="1" applyBorder="1" applyAlignment="1">
      <alignment vertical="center"/>
    </xf>
    <xf numFmtId="174" fontId="2" fillId="0" borderId="12" xfId="37" applyNumberFormat="1" applyFont="1" applyBorder="1" applyAlignment="1">
      <alignment vertical="center"/>
    </xf>
    <xf numFmtId="174" fontId="2" fillId="0" borderId="10" xfId="37" applyNumberFormat="1" applyFont="1" applyBorder="1" applyAlignment="1">
      <alignment vertical="center"/>
    </xf>
    <xf numFmtId="174" fontId="6" fillId="0" borderId="10" xfId="37" applyNumberFormat="1" applyFont="1" applyFill="1" applyBorder="1" applyAlignment="1">
      <alignment/>
    </xf>
    <xf numFmtId="174" fontId="0" fillId="0" borderId="10" xfId="37" applyNumberFormat="1" applyFont="1" applyFill="1" applyBorder="1" applyAlignment="1">
      <alignment/>
    </xf>
    <xf numFmtId="174" fontId="4" fillId="0" borderId="24" xfId="37" applyNumberFormat="1" applyFont="1" applyBorder="1" applyAlignment="1">
      <alignment/>
    </xf>
    <xf numFmtId="174" fontId="0" fillId="0" borderId="34" xfId="37" applyNumberFormat="1" applyFont="1" applyBorder="1" applyAlignment="1">
      <alignment/>
    </xf>
    <xf numFmtId="165" fontId="46" fillId="0" borderId="0" xfId="0" applyNumberFormat="1" applyFont="1" applyAlignment="1">
      <alignment horizontal="center" vertical="center"/>
    </xf>
    <xf numFmtId="174" fontId="0" fillId="0" borderId="10" xfId="37" applyNumberFormat="1" applyFont="1" applyBorder="1" applyAlignment="1">
      <alignment/>
    </xf>
    <xf numFmtId="174" fontId="0" fillId="0" borderId="24" xfId="37" applyNumberFormat="1" applyFont="1" applyBorder="1" applyAlignment="1">
      <alignment/>
    </xf>
    <xf numFmtId="174" fontId="0" fillId="0" borderId="24" xfId="37" applyNumberFormat="1" applyFont="1" applyFill="1" applyBorder="1" applyAlignment="1">
      <alignment/>
    </xf>
    <xf numFmtId="4" fontId="0" fillId="0" borderId="0" xfId="0" applyNumberFormat="1" applyAlignment="1">
      <alignment/>
    </xf>
    <xf numFmtId="174" fontId="3" fillId="0" borderId="35" xfId="37" applyNumberFormat="1" applyFont="1" applyBorder="1" applyAlignment="1">
      <alignment vertical="center"/>
    </xf>
    <xf numFmtId="174" fontId="3" fillId="0" borderId="36" xfId="37" applyNumberFormat="1" applyFont="1" applyBorder="1" applyAlignment="1">
      <alignment vertical="center"/>
    </xf>
    <xf numFmtId="174" fontId="4" fillId="0" borderId="24" xfId="37" applyNumberFormat="1" applyFont="1" applyBorder="1" applyAlignment="1">
      <alignment/>
    </xf>
    <xf numFmtId="3" fontId="0" fillId="0" borderId="15" xfId="0" applyFont="1" applyFill="1" applyBorder="1" applyAlignment="1">
      <alignment/>
    </xf>
    <xf numFmtId="3" fontId="4" fillId="0" borderId="29" xfId="0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/>
    </xf>
    <xf numFmtId="174" fontId="0" fillId="0" borderId="10" xfId="37" applyNumberFormat="1" applyFont="1" applyBorder="1" applyAlignment="1">
      <alignment vertical="center"/>
    </xf>
    <xf numFmtId="174" fontId="0" fillId="0" borderId="22" xfId="37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left"/>
    </xf>
    <xf numFmtId="174" fontId="0" fillId="0" borderId="37" xfId="37" applyNumberFormat="1" applyFont="1" applyBorder="1" applyAlignment="1">
      <alignment/>
    </xf>
    <xf numFmtId="165" fontId="4" fillId="0" borderId="28" xfId="37" applyNumberFormat="1" applyFont="1" applyBorder="1" applyAlignment="1">
      <alignment horizontal="center"/>
    </xf>
    <xf numFmtId="165" fontId="4" fillId="0" borderId="29" xfId="37" applyNumberFormat="1" applyFont="1" applyBorder="1" applyAlignment="1">
      <alignment horizontal="center"/>
    </xf>
    <xf numFmtId="165" fontId="4" fillId="0" borderId="24" xfId="37" applyNumberFormat="1" applyFont="1" applyBorder="1" applyAlignment="1">
      <alignment horizontal="center"/>
    </xf>
    <xf numFmtId="174" fontId="2" fillId="0" borderId="29" xfId="37" applyNumberFormat="1" applyFont="1" applyBorder="1" applyAlignment="1">
      <alignment vertical="center"/>
    </xf>
    <xf numFmtId="174" fontId="6" fillId="0" borderId="24" xfId="37" applyNumberFormat="1" applyFont="1" applyBorder="1" applyAlignment="1">
      <alignment/>
    </xf>
    <xf numFmtId="174" fontId="0" fillId="0" borderId="30" xfId="37" applyNumberFormat="1" applyFont="1" applyBorder="1" applyAlignment="1">
      <alignment/>
    </xf>
    <xf numFmtId="174" fontId="6" fillId="0" borderId="24" xfId="37" applyNumberFormat="1" applyFont="1" applyBorder="1" applyAlignment="1">
      <alignment/>
    </xf>
    <xf numFmtId="174" fontId="0" fillId="0" borderId="30" xfId="37" applyNumberFormat="1" applyFont="1" applyBorder="1" applyAlignment="1">
      <alignment/>
    </xf>
    <xf numFmtId="174" fontId="0" fillId="0" borderId="30" xfId="37" applyNumberFormat="1" applyFont="1" applyFill="1" applyBorder="1" applyAlignment="1">
      <alignment/>
    </xf>
    <xf numFmtId="174" fontId="4" fillId="0" borderId="35" xfId="37" applyNumberFormat="1" applyFont="1" applyBorder="1" applyAlignment="1">
      <alignment vertical="center"/>
    </xf>
    <xf numFmtId="174" fontId="2" fillId="0" borderId="35" xfId="37" applyNumberFormat="1" applyFont="1" applyBorder="1" applyAlignment="1">
      <alignment vertical="center"/>
    </xf>
    <xf numFmtId="174" fontId="3" fillId="0" borderId="28" xfId="37" applyNumberFormat="1" applyFont="1" applyBorder="1" applyAlignment="1">
      <alignment vertical="center"/>
    </xf>
    <xf numFmtId="174" fontId="3" fillId="0" borderId="24" xfId="37" applyNumberFormat="1" applyFont="1" applyBorder="1" applyAlignment="1">
      <alignment vertical="center"/>
    </xf>
    <xf numFmtId="174" fontId="3" fillId="0" borderId="29" xfId="37" applyNumberFormat="1" applyFont="1" applyBorder="1" applyAlignment="1">
      <alignment vertical="center"/>
    </xf>
    <xf numFmtId="174" fontId="2" fillId="0" borderId="28" xfId="37" applyNumberFormat="1" applyFont="1" applyBorder="1" applyAlignment="1">
      <alignment vertical="center"/>
    </xf>
    <xf numFmtId="174" fontId="2" fillId="0" borderId="24" xfId="37" applyNumberFormat="1" applyFont="1" applyBorder="1" applyAlignment="1">
      <alignment vertical="center"/>
    </xf>
    <xf numFmtId="174" fontId="0" fillId="0" borderId="24" xfId="37" applyNumberFormat="1" applyFont="1" applyBorder="1" applyAlignment="1">
      <alignment vertical="center"/>
    </xf>
    <xf numFmtId="174" fontId="4" fillId="0" borderId="29" xfId="37" applyNumberFormat="1" applyFont="1" applyBorder="1" applyAlignment="1">
      <alignment vertical="center"/>
    </xf>
    <xf numFmtId="174" fontId="4" fillId="0" borderId="36" xfId="37" applyNumberFormat="1" applyFont="1" applyBorder="1" applyAlignment="1">
      <alignment vertical="center"/>
    </xf>
    <xf numFmtId="174" fontId="2" fillId="0" borderId="36" xfId="37" applyNumberFormat="1" applyFont="1" applyBorder="1" applyAlignment="1">
      <alignment vertical="center"/>
    </xf>
    <xf numFmtId="174" fontId="3" fillId="0" borderId="38" xfId="37" applyNumberFormat="1" applyFont="1" applyBorder="1" applyAlignment="1">
      <alignment vertical="center"/>
    </xf>
    <xf numFmtId="174" fontId="3" fillId="0" borderId="0" xfId="37" applyNumberFormat="1" applyFont="1" applyBorder="1" applyAlignment="1">
      <alignment vertical="center"/>
    </xf>
    <xf numFmtId="174" fontId="3" fillId="0" borderId="39" xfId="37" applyNumberFormat="1" applyFont="1" applyBorder="1" applyAlignment="1">
      <alignment vertical="center"/>
    </xf>
    <xf numFmtId="166" fontId="4" fillId="0" borderId="24" xfId="37" applyNumberFormat="1" applyFont="1" applyBorder="1" applyAlignment="1">
      <alignment/>
    </xf>
    <xf numFmtId="3" fontId="10" fillId="0" borderId="24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174" fontId="4" fillId="0" borderId="20" xfId="37" applyNumberFormat="1" applyFont="1" applyBorder="1" applyAlignment="1">
      <alignment/>
    </xf>
    <xf numFmtId="174" fontId="0" fillId="0" borderId="33" xfId="37" applyNumberFormat="1" applyFont="1" applyBorder="1" applyAlignment="1">
      <alignment vertical="center"/>
    </xf>
    <xf numFmtId="174" fontId="4" fillId="0" borderId="32" xfId="37" applyNumberFormat="1" applyFont="1" applyBorder="1" applyAlignment="1">
      <alignment/>
    </xf>
    <xf numFmtId="175" fontId="0" fillId="0" borderId="0" xfId="0" applyNumberFormat="1" applyAlignment="1">
      <alignment/>
    </xf>
    <xf numFmtId="3" fontId="0" fillId="0" borderId="30" xfId="0" applyFont="1" applyBorder="1" applyAlignment="1">
      <alignment/>
    </xf>
    <xf numFmtId="174" fontId="0" fillId="0" borderId="20" xfId="37" applyNumberFormat="1" applyFont="1" applyBorder="1" applyAlignment="1">
      <alignment/>
    </xf>
    <xf numFmtId="4" fontId="4" fillId="0" borderId="24" xfId="37" applyNumberFormat="1" applyFont="1" applyBorder="1" applyAlignment="1">
      <alignment/>
    </xf>
    <xf numFmtId="4" fontId="0" fillId="0" borderId="24" xfId="37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4" fillId="0" borderId="24" xfId="37" applyNumberFormat="1" applyFont="1" applyBorder="1" applyAlignment="1">
      <alignment/>
    </xf>
    <xf numFmtId="4" fontId="2" fillId="0" borderId="29" xfId="37" applyNumberFormat="1" applyFont="1" applyBorder="1" applyAlignment="1">
      <alignment vertical="center"/>
    </xf>
    <xf numFmtId="4" fontId="6" fillId="0" borderId="24" xfId="37" applyNumberFormat="1" applyFont="1" applyBorder="1" applyAlignment="1">
      <alignment/>
    </xf>
    <xf numFmtId="4" fontId="6" fillId="0" borderId="24" xfId="37" applyNumberFormat="1" applyFont="1" applyBorder="1" applyAlignment="1">
      <alignment/>
    </xf>
    <xf numFmtId="4" fontId="0" fillId="0" borderId="30" xfId="37" applyNumberFormat="1" applyFont="1" applyBorder="1" applyAlignment="1">
      <alignment/>
    </xf>
    <xf numFmtId="4" fontId="7" fillId="0" borderId="24" xfId="37" applyNumberFormat="1" applyFont="1" applyBorder="1" applyAlignment="1">
      <alignment/>
    </xf>
    <xf numFmtId="4" fontId="0" fillId="0" borderId="24" xfId="37" applyNumberFormat="1" applyFont="1" applyFill="1" applyBorder="1" applyAlignment="1">
      <alignment/>
    </xf>
    <xf numFmtId="4" fontId="4" fillId="0" borderId="40" xfId="37" applyNumberFormat="1" applyFont="1" applyBorder="1" applyAlignment="1">
      <alignment/>
    </xf>
    <xf numFmtId="4" fontId="0" fillId="0" borderId="0" xfId="37" applyNumberFormat="1" applyFont="1" applyBorder="1" applyAlignment="1">
      <alignment/>
    </xf>
    <xf numFmtId="4" fontId="3" fillId="0" borderId="35" xfId="37" applyNumberFormat="1" applyFont="1" applyBorder="1" applyAlignment="1">
      <alignment vertical="center"/>
    </xf>
    <xf numFmtId="4" fontId="4" fillId="0" borderId="35" xfId="37" applyNumberFormat="1" applyFont="1" applyBorder="1" applyAlignment="1">
      <alignment vertical="center"/>
    </xf>
    <xf numFmtId="4" fontId="2" fillId="0" borderId="35" xfId="37" applyNumberFormat="1" applyFont="1" applyBorder="1" applyAlignment="1">
      <alignment vertical="center"/>
    </xf>
    <xf numFmtId="4" fontId="3" fillId="0" borderId="28" xfId="37" applyNumberFormat="1" applyFont="1" applyBorder="1" applyAlignment="1">
      <alignment vertical="center"/>
    </xf>
    <xf numFmtId="4" fontId="3" fillId="0" borderId="24" xfId="37" applyNumberFormat="1" applyFont="1" applyBorder="1" applyAlignment="1">
      <alignment vertical="center"/>
    </xf>
    <xf numFmtId="4" fontId="3" fillId="0" borderId="29" xfId="37" applyNumberFormat="1" applyFont="1" applyBorder="1" applyAlignment="1">
      <alignment vertical="center"/>
    </xf>
    <xf numFmtId="4" fontId="2" fillId="0" borderId="28" xfId="37" applyNumberFormat="1" applyFont="1" applyBorder="1" applyAlignment="1">
      <alignment vertical="center"/>
    </xf>
    <xf numFmtId="4" fontId="2" fillId="0" borderId="24" xfId="37" applyNumberFormat="1" applyFont="1" applyBorder="1" applyAlignment="1">
      <alignment vertical="center"/>
    </xf>
    <xf numFmtId="4" fontId="8" fillId="0" borderId="24" xfId="37" applyNumberFormat="1" applyFont="1" applyBorder="1" applyAlignment="1">
      <alignment vertical="center"/>
    </xf>
    <xf numFmtId="4" fontId="8" fillId="0" borderId="22" xfId="37" applyNumberFormat="1" applyFont="1" applyBorder="1" applyAlignment="1">
      <alignment vertical="center"/>
    </xf>
    <xf numFmtId="165" fontId="4" fillId="0" borderId="41" xfId="37" applyNumberFormat="1" applyFont="1" applyBorder="1" applyAlignment="1">
      <alignment horizontal="center"/>
    </xf>
    <xf numFmtId="165" fontId="4" fillId="0" borderId="42" xfId="37" applyNumberFormat="1" applyFont="1" applyBorder="1" applyAlignment="1">
      <alignment horizontal="center"/>
    </xf>
    <xf numFmtId="165" fontId="4" fillId="0" borderId="40" xfId="37" applyNumberFormat="1" applyFont="1" applyBorder="1" applyAlignment="1">
      <alignment horizontal="center"/>
    </xf>
    <xf numFmtId="174" fontId="4" fillId="0" borderId="40" xfId="37" applyNumberFormat="1" applyFont="1" applyBorder="1" applyAlignment="1">
      <alignment/>
    </xf>
    <xf numFmtId="166" fontId="4" fillId="0" borderId="40" xfId="37" applyNumberFormat="1" applyFont="1" applyBorder="1" applyAlignment="1">
      <alignment/>
    </xf>
    <xf numFmtId="4" fontId="4" fillId="0" borderId="40" xfId="37" applyNumberFormat="1" applyFont="1" applyBorder="1" applyAlignment="1">
      <alignment/>
    </xf>
    <xf numFmtId="4" fontId="0" fillId="0" borderId="40" xfId="37" applyNumberFormat="1" applyFont="1" applyBorder="1" applyAlignment="1">
      <alignment/>
    </xf>
    <xf numFmtId="4" fontId="0" fillId="0" borderId="40" xfId="0" applyNumberFormat="1" applyBorder="1" applyAlignment="1">
      <alignment/>
    </xf>
    <xf numFmtId="4" fontId="2" fillId="0" borderId="42" xfId="37" applyNumberFormat="1" applyFont="1" applyBorder="1" applyAlignment="1">
      <alignment vertical="center"/>
    </xf>
    <xf numFmtId="4" fontId="6" fillId="0" borderId="40" xfId="37" applyNumberFormat="1" applyFont="1" applyBorder="1" applyAlignment="1">
      <alignment/>
    </xf>
    <xf numFmtId="4" fontId="6" fillId="0" borderId="40" xfId="37" applyNumberFormat="1" applyFont="1" applyBorder="1" applyAlignment="1">
      <alignment/>
    </xf>
    <xf numFmtId="4" fontId="0" fillId="0" borderId="43" xfId="37" applyNumberFormat="1" applyFont="1" applyBorder="1" applyAlignment="1">
      <alignment/>
    </xf>
    <xf numFmtId="4" fontId="7" fillId="0" borderId="40" xfId="37" applyNumberFormat="1" applyFont="1" applyBorder="1" applyAlignment="1">
      <alignment/>
    </xf>
    <xf numFmtId="4" fontId="0" fillId="0" borderId="40" xfId="37" applyNumberFormat="1" applyFont="1" applyFill="1" applyBorder="1" applyAlignment="1">
      <alignment/>
    </xf>
    <xf numFmtId="4" fontId="3" fillId="0" borderId="44" xfId="37" applyNumberFormat="1" applyFont="1" applyBorder="1" applyAlignment="1">
      <alignment vertical="center"/>
    </xf>
    <xf numFmtId="4" fontId="2" fillId="0" borderId="41" xfId="37" applyNumberFormat="1" applyFont="1" applyBorder="1" applyAlignment="1">
      <alignment vertical="center"/>
    </xf>
    <xf numFmtId="4" fontId="2" fillId="0" borderId="40" xfId="37" applyNumberFormat="1" applyFont="1" applyBorder="1" applyAlignment="1">
      <alignment vertical="center"/>
    </xf>
    <xf numFmtId="4" fontId="8" fillId="0" borderId="40" xfId="37" applyNumberFormat="1" applyFont="1" applyBorder="1" applyAlignment="1">
      <alignment vertical="center"/>
    </xf>
    <xf numFmtId="4" fontId="4" fillId="0" borderId="20" xfId="37" applyNumberFormat="1" applyFont="1" applyBorder="1" applyAlignment="1">
      <alignment/>
    </xf>
    <xf numFmtId="4" fontId="0" fillId="0" borderId="20" xfId="37" applyNumberFormat="1" applyFont="1" applyBorder="1" applyAlignment="1">
      <alignment/>
    </xf>
    <xf numFmtId="4" fontId="4" fillId="0" borderId="20" xfId="37" applyNumberFormat="1" applyFont="1" applyBorder="1" applyAlignment="1">
      <alignment/>
    </xf>
    <xf numFmtId="4" fontId="2" fillId="0" borderId="23" xfId="37" applyNumberFormat="1" applyFont="1" applyBorder="1" applyAlignment="1">
      <alignment vertical="center"/>
    </xf>
    <xf numFmtId="4" fontId="6" fillId="0" borderId="20" xfId="37" applyNumberFormat="1" applyFont="1" applyBorder="1" applyAlignment="1">
      <alignment/>
    </xf>
    <xf numFmtId="4" fontId="6" fillId="0" borderId="20" xfId="37" applyNumberFormat="1" applyFont="1" applyBorder="1" applyAlignment="1">
      <alignment/>
    </xf>
    <xf numFmtId="4" fontId="0" fillId="0" borderId="34" xfId="37" applyNumberFormat="1" applyFont="1" applyBorder="1" applyAlignment="1">
      <alignment/>
    </xf>
    <xf numFmtId="4" fontId="4" fillId="0" borderId="34" xfId="37" applyNumberFormat="1" applyFont="1" applyBorder="1" applyAlignment="1">
      <alignment/>
    </xf>
    <xf numFmtId="4" fontId="0" fillId="0" borderId="20" xfId="37" applyNumberFormat="1" applyFont="1" applyFill="1" applyBorder="1" applyAlignment="1">
      <alignment/>
    </xf>
    <xf numFmtId="4" fontId="4" fillId="0" borderId="34" xfId="37" applyNumberFormat="1" applyFont="1" applyBorder="1" applyAlignment="1">
      <alignment/>
    </xf>
    <xf numFmtId="4" fontId="3" fillId="0" borderId="32" xfId="37" applyNumberFormat="1" applyFont="1" applyBorder="1" applyAlignment="1">
      <alignment vertical="center"/>
    </xf>
    <xf numFmtId="4" fontId="2" fillId="0" borderId="32" xfId="37" applyNumberFormat="1" applyFont="1" applyBorder="1" applyAlignment="1">
      <alignment vertical="center"/>
    </xf>
    <xf numFmtId="4" fontId="3" fillId="0" borderId="13" xfId="37" applyNumberFormat="1" applyFont="1" applyBorder="1" applyAlignment="1">
      <alignment vertical="center"/>
    </xf>
    <xf numFmtId="4" fontId="3" fillId="0" borderId="20" xfId="37" applyNumberFormat="1" applyFont="1" applyBorder="1" applyAlignment="1">
      <alignment vertical="center"/>
    </xf>
    <xf numFmtId="4" fontId="3" fillId="0" borderId="23" xfId="37" applyNumberFormat="1" applyFont="1" applyBorder="1" applyAlignment="1">
      <alignment vertical="center"/>
    </xf>
    <xf numFmtId="4" fontId="2" fillId="0" borderId="13" xfId="37" applyNumberFormat="1" applyFont="1" applyBorder="1" applyAlignment="1">
      <alignment vertical="center"/>
    </xf>
    <xf numFmtId="4" fontId="8" fillId="0" borderId="20" xfId="37" applyNumberFormat="1" applyFont="1" applyBorder="1" applyAlignment="1">
      <alignment vertical="center"/>
    </xf>
    <xf numFmtId="4" fontId="0" fillId="0" borderId="20" xfId="37" applyNumberFormat="1" applyFont="1" applyBorder="1" applyAlignment="1">
      <alignment vertical="center"/>
    </xf>
    <xf numFmtId="4" fontId="0" fillId="0" borderId="23" xfId="37" applyNumberFormat="1" applyFont="1" applyBorder="1" applyAlignment="1">
      <alignment vertical="center"/>
    </xf>
    <xf numFmtId="174" fontId="4" fillId="0" borderId="20" xfId="37" applyNumberFormat="1" applyFont="1" applyBorder="1" applyAlignment="1">
      <alignment/>
    </xf>
    <xf numFmtId="174" fontId="2" fillId="0" borderId="23" xfId="37" applyNumberFormat="1" applyFont="1" applyBorder="1" applyAlignment="1">
      <alignment vertical="center"/>
    </xf>
    <xf numFmtId="174" fontId="6" fillId="0" borderId="20" xfId="37" applyNumberFormat="1" applyFont="1" applyBorder="1" applyAlignment="1">
      <alignment/>
    </xf>
    <xf numFmtId="174" fontId="6" fillId="0" borderId="20" xfId="37" applyNumberFormat="1" applyFont="1" applyBorder="1" applyAlignment="1">
      <alignment/>
    </xf>
    <xf numFmtId="174" fontId="0" fillId="0" borderId="20" xfId="37" applyNumberFormat="1" applyFont="1" applyFill="1" applyBorder="1" applyAlignment="1">
      <alignment/>
    </xf>
    <xf numFmtId="174" fontId="2" fillId="0" borderId="13" xfId="37" applyNumberFormat="1" applyFont="1" applyBorder="1" applyAlignment="1">
      <alignment vertical="center"/>
    </xf>
    <xf numFmtId="174" fontId="8" fillId="0" borderId="20" xfId="37" applyNumberFormat="1" applyFont="1" applyBorder="1" applyAlignment="1">
      <alignment vertical="center"/>
    </xf>
    <xf numFmtId="174" fontId="0" fillId="0" borderId="20" xfId="37" applyNumberFormat="1" applyFont="1" applyBorder="1" applyAlignment="1">
      <alignment vertical="center"/>
    </xf>
    <xf numFmtId="174" fontId="0" fillId="0" borderId="23" xfId="37" applyNumberFormat="1" applyFont="1" applyBorder="1" applyAlignment="1">
      <alignment vertical="center"/>
    </xf>
    <xf numFmtId="4" fontId="0" fillId="0" borderId="30" xfId="37" applyNumberFormat="1" applyFont="1" applyFill="1" applyBorder="1" applyAlignment="1">
      <alignment/>
    </xf>
    <xf numFmtId="3" fontId="7" fillId="0" borderId="16" xfId="0" applyFont="1" applyBorder="1" applyAlignment="1">
      <alignment horizontal="center"/>
    </xf>
    <xf numFmtId="4" fontId="0" fillId="0" borderId="39" xfId="37" applyNumberFormat="1" applyFont="1" applyBorder="1" applyAlignment="1">
      <alignment vertical="center"/>
    </xf>
    <xf numFmtId="3" fontId="7" fillId="0" borderId="24" xfId="0" applyFont="1" applyBorder="1" applyAlignment="1">
      <alignment horizontal="center" vertical="center"/>
    </xf>
    <xf numFmtId="4" fontId="0" fillId="0" borderId="24" xfId="37" applyNumberFormat="1" applyFont="1" applyBorder="1" applyAlignment="1">
      <alignment vertical="center"/>
    </xf>
    <xf numFmtId="4" fontId="0" fillId="0" borderId="35" xfId="37" applyNumberFormat="1" applyFont="1" applyBorder="1" applyAlignment="1">
      <alignment vertical="center"/>
    </xf>
    <xf numFmtId="4" fontId="0" fillId="0" borderId="40" xfId="37" applyNumberFormat="1" applyFont="1" applyBorder="1" applyAlignment="1">
      <alignment vertical="center"/>
    </xf>
    <xf numFmtId="4" fontId="0" fillId="0" borderId="27" xfId="37" applyNumberFormat="1" applyFont="1" applyBorder="1" applyAlignment="1">
      <alignment/>
    </xf>
    <xf numFmtId="4" fontId="4" fillId="0" borderId="27" xfId="37" applyNumberFormat="1" applyFont="1" applyBorder="1" applyAlignment="1">
      <alignment/>
    </xf>
    <xf numFmtId="4" fontId="4" fillId="0" borderId="27" xfId="37" applyNumberFormat="1" applyFont="1" applyBorder="1" applyAlignment="1">
      <alignment/>
    </xf>
    <xf numFmtId="4" fontId="2" fillId="0" borderId="26" xfId="37" applyNumberFormat="1" applyFont="1" applyBorder="1" applyAlignment="1">
      <alignment vertical="center"/>
    </xf>
    <xf numFmtId="4" fontId="6" fillId="0" borderId="27" xfId="37" applyNumberFormat="1" applyFont="1" applyBorder="1" applyAlignment="1">
      <alignment/>
    </xf>
    <xf numFmtId="4" fontId="6" fillId="0" borderId="27" xfId="37" applyNumberFormat="1" applyFont="1" applyBorder="1" applyAlignment="1">
      <alignment/>
    </xf>
    <xf numFmtId="4" fontId="0" fillId="0" borderId="27" xfId="37" applyNumberFormat="1" applyFont="1" applyFill="1" applyBorder="1" applyAlignment="1">
      <alignment/>
    </xf>
    <xf numFmtId="4" fontId="3" fillId="0" borderId="45" xfId="37" applyNumberFormat="1" applyFont="1" applyBorder="1" applyAlignment="1">
      <alignment vertical="center"/>
    </xf>
    <xf numFmtId="4" fontId="2" fillId="0" borderId="25" xfId="37" applyNumberFormat="1" applyFont="1" applyBorder="1" applyAlignment="1">
      <alignment vertical="center"/>
    </xf>
    <xf numFmtId="4" fontId="0" fillId="0" borderId="14" xfId="37" applyNumberFormat="1" applyFont="1" applyBorder="1" applyAlignment="1">
      <alignment/>
    </xf>
    <xf numFmtId="4" fontId="2" fillId="0" borderId="45" xfId="37" applyNumberFormat="1" applyFont="1" applyBorder="1" applyAlignment="1">
      <alignment vertical="center"/>
    </xf>
    <xf numFmtId="4" fontId="3" fillId="0" borderId="27" xfId="37" applyNumberFormat="1" applyFont="1" applyBorder="1" applyAlignment="1">
      <alignment vertical="center"/>
    </xf>
    <xf numFmtId="4" fontId="3" fillId="0" borderId="26" xfId="37" applyNumberFormat="1" applyFont="1" applyBorder="1" applyAlignment="1">
      <alignment vertical="center"/>
    </xf>
    <xf numFmtId="4" fontId="3" fillId="0" borderId="46" xfId="37" applyNumberFormat="1" applyFont="1" applyBorder="1" applyAlignment="1">
      <alignment vertical="center"/>
    </xf>
    <xf numFmtId="4" fontId="2" fillId="0" borderId="46" xfId="37" applyNumberFormat="1" applyFont="1" applyBorder="1" applyAlignment="1">
      <alignment vertical="center"/>
    </xf>
    <xf numFmtId="4" fontId="3" fillId="0" borderId="14" xfId="37" applyNumberFormat="1" applyFont="1" applyBorder="1" applyAlignment="1">
      <alignment vertical="center"/>
    </xf>
    <xf numFmtId="4" fontId="3" fillId="0" borderId="21" xfId="37" applyNumberFormat="1" applyFont="1" applyBorder="1" applyAlignment="1">
      <alignment vertical="center"/>
    </xf>
    <xf numFmtId="4" fontId="2" fillId="0" borderId="11" xfId="37" applyNumberFormat="1" applyFont="1" applyBorder="1" applyAlignment="1">
      <alignment vertical="center"/>
    </xf>
    <xf numFmtId="4" fontId="4" fillId="0" borderId="14" xfId="37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4" fillId="0" borderId="14" xfId="37" applyNumberFormat="1" applyFont="1" applyBorder="1" applyAlignment="1">
      <alignment/>
    </xf>
    <xf numFmtId="4" fontId="0" fillId="0" borderId="14" xfId="37" applyNumberFormat="1" applyFont="1" applyFill="1" applyBorder="1" applyAlignment="1">
      <alignment/>
    </xf>
    <xf numFmtId="4" fontId="2" fillId="0" borderId="21" xfId="37" applyNumberFormat="1" applyFont="1" applyBorder="1" applyAlignment="1">
      <alignment vertical="center"/>
    </xf>
    <xf numFmtId="4" fontId="6" fillId="0" borderId="14" xfId="37" applyNumberFormat="1" applyFont="1" applyBorder="1" applyAlignment="1">
      <alignment/>
    </xf>
    <xf numFmtId="4" fontId="6" fillId="0" borderId="14" xfId="37" applyNumberFormat="1" applyFont="1" applyBorder="1" applyAlignment="1">
      <alignment/>
    </xf>
    <xf numFmtId="4" fontId="0" fillId="0" borderId="47" xfId="37" applyNumberFormat="1" applyFont="1" applyBorder="1" applyAlignment="1">
      <alignment/>
    </xf>
    <xf numFmtId="4" fontId="4" fillId="0" borderId="46" xfId="37" applyNumberFormat="1" applyFont="1" applyBorder="1" applyAlignment="1">
      <alignment vertical="center"/>
    </xf>
    <xf numFmtId="4" fontId="3" fillId="0" borderId="11" xfId="37" applyNumberFormat="1" applyFont="1" applyBorder="1" applyAlignment="1">
      <alignment vertical="center"/>
    </xf>
    <xf numFmtId="4" fontId="2" fillId="0" borderId="14" xfId="37" applyNumberFormat="1" applyFont="1" applyBorder="1" applyAlignment="1">
      <alignment vertical="center"/>
    </xf>
    <xf numFmtId="4" fontId="8" fillId="0" borderId="14" xfId="37" applyNumberFormat="1" applyFont="1" applyBorder="1" applyAlignment="1">
      <alignment vertical="center"/>
    </xf>
    <xf numFmtId="4" fontId="8" fillId="0" borderId="21" xfId="37" applyNumberFormat="1" applyFont="1" applyBorder="1" applyAlignment="1">
      <alignment vertical="center"/>
    </xf>
    <xf numFmtId="4" fontId="4" fillId="0" borderId="37" xfId="37" applyNumberFormat="1" applyFont="1" applyBorder="1" applyAlignment="1">
      <alignment/>
    </xf>
    <xf numFmtId="4" fontId="4" fillId="0" borderId="36" xfId="37" applyNumberFormat="1" applyFont="1" applyBorder="1" applyAlignment="1">
      <alignment vertical="center"/>
    </xf>
    <xf numFmtId="4" fontId="3" fillId="0" borderId="38" xfId="37" applyNumberFormat="1" applyFont="1" applyBorder="1" applyAlignment="1">
      <alignment vertical="center"/>
    </xf>
    <xf numFmtId="4" fontId="4" fillId="0" borderId="0" xfId="37" applyNumberFormat="1" applyFont="1" applyBorder="1" applyAlignment="1">
      <alignment/>
    </xf>
    <xf numFmtId="4" fontId="4" fillId="0" borderId="10" xfId="37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10" xfId="37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Fill="1" applyBorder="1" applyAlignment="1">
      <alignment/>
    </xf>
    <xf numFmtId="4" fontId="4" fillId="0" borderId="10" xfId="37" applyNumberFormat="1" applyFont="1" applyBorder="1" applyAlignment="1">
      <alignment/>
    </xf>
    <xf numFmtId="4" fontId="0" fillId="0" borderId="31" xfId="37" applyNumberFormat="1" applyFont="1" applyBorder="1" applyAlignment="1">
      <alignment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0" xfId="37" applyNumberFormat="1" applyFont="1" applyFill="1" applyBorder="1" applyAlignment="1">
      <alignment/>
    </xf>
    <xf numFmtId="4" fontId="3" fillId="0" borderId="36" xfId="37" applyNumberFormat="1" applyFont="1" applyBorder="1" applyAlignment="1">
      <alignment vertical="center"/>
    </xf>
    <xf numFmtId="4" fontId="2" fillId="0" borderId="36" xfId="37" applyNumberFormat="1" applyFont="1" applyBorder="1" applyAlignment="1">
      <alignment vertical="center"/>
    </xf>
    <xf numFmtId="4" fontId="3" fillId="0" borderId="0" xfId="37" applyNumberFormat="1" applyFont="1" applyBorder="1" applyAlignment="1">
      <alignment vertical="center"/>
    </xf>
    <xf numFmtId="4" fontId="3" fillId="0" borderId="39" xfId="37" applyNumberFormat="1" applyFont="1" applyBorder="1" applyAlignment="1">
      <alignment vertical="center"/>
    </xf>
    <xf numFmtId="4" fontId="2" fillId="0" borderId="10" xfId="37" applyNumberFormat="1" applyFont="1" applyBorder="1" applyAlignment="1">
      <alignment vertical="center"/>
    </xf>
    <xf numFmtId="4" fontId="0" fillId="0" borderId="10" xfId="37" applyNumberFormat="1" applyFont="1" applyBorder="1" applyAlignment="1">
      <alignment vertical="center"/>
    </xf>
    <xf numFmtId="4" fontId="0" fillId="0" borderId="14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2" xfId="37" applyNumberFormat="1" applyFont="1" applyBorder="1" applyAlignment="1">
      <alignment vertical="center"/>
    </xf>
    <xf numFmtId="4" fontId="0" fillId="0" borderId="21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49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2" fillId="0" borderId="22" xfId="37" applyNumberFormat="1" applyFont="1" applyBorder="1" applyAlignment="1">
      <alignment vertical="center"/>
    </xf>
    <xf numFmtId="4" fontId="6" fillId="0" borderId="10" xfId="37" applyNumberFormat="1" applyFont="1" applyBorder="1" applyAlignment="1">
      <alignment/>
    </xf>
    <xf numFmtId="4" fontId="6" fillId="0" borderId="10" xfId="37" applyNumberFormat="1" applyFont="1" applyBorder="1" applyAlignment="1">
      <alignment/>
    </xf>
    <xf numFmtId="4" fontId="0" fillId="0" borderId="10" xfId="37" applyNumberFormat="1" applyFont="1" applyFill="1" applyBorder="1" applyAlignment="1">
      <alignment/>
    </xf>
    <xf numFmtId="4" fontId="0" fillId="0" borderId="31" xfId="37" applyNumberFormat="1" applyFont="1" applyFill="1" applyBorder="1" applyAlignment="1">
      <alignment/>
    </xf>
    <xf numFmtId="4" fontId="8" fillId="0" borderId="10" xfId="37" applyNumberFormat="1" applyFont="1" applyBorder="1" applyAlignment="1">
      <alignment vertical="center"/>
    </xf>
    <xf numFmtId="4" fontId="3" fillId="0" borderId="25" xfId="37" applyNumberFormat="1" applyFont="1" applyBorder="1" applyAlignment="1">
      <alignment vertical="center"/>
    </xf>
    <xf numFmtId="4" fontId="3" fillId="0" borderId="33" xfId="37" applyNumberFormat="1" applyFont="1" applyBorder="1" applyAlignment="1">
      <alignment vertical="center"/>
    </xf>
    <xf numFmtId="4" fontId="4" fillId="0" borderId="33" xfId="37" applyNumberFormat="1" applyFont="1" applyBorder="1" applyAlignment="1">
      <alignment vertical="center"/>
    </xf>
    <xf numFmtId="4" fontId="2" fillId="0" borderId="33" xfId="37" applyNumberFormat="1" applyFont="1" applyBorder="1" applyAlignment="1">
      <alignment vertical="center"/>
    </xf>
    <xf numFmtId="4" fontId="3" fillId="0" borderId="12" xfId="37" applyNumberFormat="1" applyFont="1" applyBorder="1" applyAlignment="1">
      <alignment vertical="center"/>
    </xf>
    <xf numFmtId="4" fontId="3" fillId="0" borderId="10" xfId="37" applyNumberFormat="1" applyFont="1" applyBorder="1" applyAlignment="1">
      <alignment vertical="center"/>
    </xf>
    <xf numFmtId="4" fontId="3" fillId="0" borderId="22" xfId="37" applyNumberFormat="1" applyFont="1" applyBorder="1" applyAlignment="1">
      <alignment vertical="center"/>
    </xf>
    <xf numFmtId="4" fontId="2" fillId="0" borderId="12" xfId="37" applyNumberFormat="1" applyFont="1" applyBorder="1" applyAlignment="1">
      <alignment vertical="center"/>
    </xf>
    <xf numFmtId="165" fontId="4" fillId="0" borderId="38" xfId="37" applyNumberFormat="1" applyFont="1" applyBorder="1" applyAlignment="1">
      <alignment horizontal="center"/>
    </xf>
    <xf numFmtId="165" fontId="4" fillId="0" borderId="39" xfId="37" applyNumberFormat="1" applyFont="1" applyBorder="1" applyAlignment="1">
      <alignment horizontal="center"/>
    </xf>
    <xf numFmtId="165" fontId="4" fillId="0" borderId="0" xfId="37" applyNumberFormat="1" applyFont="1" applyBorder="1" applyAlignment="1">
      <alignment horizontal="center"/>
    </xf>
    <xf numFmtId="4" fontId="4" fillId="0" borderId="0" xfId="37" applyNumberFormat="1" applyFont="1" applyBorder="1" applyAlignment="1">
      <alignment/>
    </xf>
    <xf numFmtId="4" fontId="2" fillId="0" borderId="39" xfId="37" applyNumberFormat="1" applyFont="1" applyBorder="1" applyAlignment="1">
      <alignment vertical="center"/>
    </xf>
    <xf numFmtId="4" fontId="6" fillId="0" borderId="0" xfId="37" applyNumberFormat="1" applyFont="1" applyBorder="1" applyAlignment="1">
      <alignment/>
    </xf>
    <xf numFmtId="4" fontId="6" fillId="0" borderId="0" xfId="37" applyNumberFormat="1" applyFont="1" applyBorder="1" applyAlignment="1">
      <alignment/>
    </xf>
    <xf numFmtId="4" fontId="0" fillId="0" borderId="51" xfId="37" applyNumberFormat="1" applyFont="1" applyBorder="1" applyAlignment="1">
      <alignment/>
    </xf>
    <xf numFmtId="4" fontId="0" fillId="0" borderId="51" xfId="37" applyNumberFormat="1" applyFont="1" applyFill="1" applyBorder="1" applyAlignment="1">
      <alignment/>
    </xf>
    <xf numFmtId="4" fontId="2" fillId="0" borderId="38" xfId="37" applyNumberFormat="1" applyFont="1" applyBorder="1" applyAlignment="1">
      <alignment vertical="center"/>
    </xf>
    <xf numFmtId="4" fontId="2" fillId="0" borderId="0" xfId="37" applyNumberFormat="1" applyFont="1" applyBorder="1" applyAlignment="1">
      <alignment vertical="center"/>
    </xf>
    <xf numFmtId="4" fontId="0" fillId="0" borderId="0" xfId="37" applyNumberFormat="1" applyFont="1" applyBorder="1" applyAlignment="1">
      <alignment vertical="center"/>
    </xf>
    <xf numFmtId="166" fontId="4" fillId="0" borderId="20" xfId="37" applyNumberFormat="1" applyFont="1" applyBorder="1" applyAlignment="1">
      <alignment/>
    </xf>
    <xf numFmtId="4" fontId="4" fillId="0" borderId="52" xfId="37" applyNumberFormat="1" applyFont="1" applyBorder="1" applyAlignment="1">
      <alignment/>
    </xf>
    <xf numFmtId="174" fontId="0" fillId="0" borderId="31" xfId="37" applyNumberFormat="1" applyFont="1" applyFill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7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19" xfId="0" applyFont="1" applyBorder="1" applyAlignment="1">
      <alignment horizontal="center" vertical="center"/>
    </xf>
    <xf numFmtId="3" fontId="0" fillId="0" borderId="17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3"/>
  <sheetViews>
    <sheetView tabSelected="1" zoomScaleSheetLayoutView="69" zoomScalePageLayoutView="0" workbookViewId="0" topLeftCell="A1">
      <pane xSplit="1" ySplit="9" topLeftCell="C45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478" sqref="N478"/>
    </sheetView>
  </sheetViews>
  <sheetFormatPr defaultColWidth="9.00390625" defaultRowHeight="12.75"/>
  <cols>
    <col min="1" max="1" width="53.125" style="0" customWidth="1"/>
    <col min="2" max="2" width="10.00390625" style="0" hidden="1" customWidth="1"/>
    <col min="3" max="3" width="15.125" style="0" customWidth="1"/>
    <col min="4" max="4" width="16.75390625" style="0" hidden="1" customWidth="1"/>
    <col min="5" max="5" width="12.875" style="0" hidden="1" customWidth="1"/>
    <col min="6" max="6" width="16.25390625" style="0" hidden="1" customWidth="1"/>
    <col min="7" max="7" width="12.625" style="0" hidden="1" customWidth="1"/>
    <col min="8" max="8" width="12.75390625" style="0" hidden="1" customWidth="1"/>
    <col min="9" max="9" width="15.25390625" style="0" hidden="1" customWidth="1"/>
    <col min="10" max="10" width="13.625" style="0" hidden="1" customWidth="1"/>
    <col min="11" max="11" width="12.375" style="0" hidden="1" customWidth="1"/>
    <col min="12" max="12" width="15.875" style="0" customWidth="1"/>
    <col min="13" max="13" width="13.75390625" style="0" customWidth="1"/>
    <col min="14" max="14" width="13.375" style="0" customWidth="1"/>
    <col min="15" max="15" width="15.75390625" style="0" customWidth="1"/>
    <col min="16" max="16" width="13.25390625" style="0" hidden="1" customWidth="1"/>
    <col min="17" max="17" width="17.125" style="0" hidden="1" customWidth="1"/>
    <col min="19" max="19" width="15.125" style="0" customWidth="1"/>
  </cols>
  <sheetData>
    <row r="1" spans="3:17" ht="12.75">
      <c r="C1" s="1"/>
      <c r="D1" s="1"/>
      <c r="E1" s="1"/>
      <c r="F1" s="2"/>
      <c r="I1" s="2"/>
      <c r="L1" s="2"/>
      <c r="O1" s="2" t="s">
        <v>144</v>
      </c>
      <c r="Q1" s="2" t="s">
        <v>144</v>
      </c>
    </row>
    <row r="2" spans="3:6" ht="9.75" customHeight="1">
      <c r="C2" s="1"/>
      <c r="D2" s="1"/>
      <c r="E2" s="1"/>
      <c r="F2" s="2"/>
    </row>
    <row r="3" spans="1:17" ht="15.75">
      <c r="A3" s="308" t="s">
        <v>266</v>
      </c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</row>
    <row r="4" spans="1:17" ht="15.75">
      <c r="A4" s="310" t="s">
        <v>296</v>
      </c>
      <c r="B4" s="310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17" ht="15">
      <c r="A5" s="311" t="s">
        <v>0</v>
      </c>
      <c r="B5" s="311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17" ht="12.75">
      <c r="A6" s="312" t="s">
        <v>1</v>
      </c>
      <c r="B6" s="312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</row>
    <row r="7" spans="1:13" ht="18" customHeight="1" thickBot="1">
      <c r="A7" s="3"/>
      <c r="B7" s="3"/>
      <c r="C7" s="4"/>
      <c r="D7" s="98"/>
      <c r="E7" s="4"/>
      <c r="F7" s="4"/>
      <c r="G7" s="41"/>
      <c r="J7" s="44"/>
      <c r="M7" s="41"/>
    </row>
    <row r="8" spans="1:17" ht="12.75">
      <c r="A8" s="313" t="s">
        <v>2</v>
      </c>
      <c r="B8" s="50" t="s">
        <v>250</v>
      </c>
      <c r="C8" s="113" t="s">
        <v>3</v>
      </c>
      <c r="D8" s="7" t="s">
        <v>4</v>
      </c>
      <c r="E8" s="7" t="s">
        <v>5</v>
      </c>
      <c r="F8" s="8" t="s">
        <v>6</v>
      </c>
      <c r="G8" s="113" t="s">
        <v>7</v>
      </c>
      <c r="H8" s="167" t="s">
        <v>5</v>
      </c>
      <c r="I8" s="8" t="s">
        <v>6</v>
      </c>
      <c r="J8" s="6" t="s">
        <v>8</v>
      </c>
      <c r="K8" s="7" t="s">
        <v>5</v>
      </c>
      <c r="L8" s="8" t="s">
        <v>6</v>
      </c>
      <c r="M8" s="293" t="s">
        <v>9</v>
      </c>
      <c r="N8" s="7" t="s">
        <v>5</v>
      </c>
      <c r="O8" s="8" t="s">
        <v>6</v>
      </c>
      <c r="P8" s="6" t="s">
        <v>167</v>
      </c>
      <c r="Q8" s="46" t="s">
        <v>6</v>
      </c>
    </row>
    <row r="9" spans="1:17" ht="13.5" thickBot="1">
      <c r="A9" s="314"/>
      <c r="B9" s="107" t="s">
        <v>188</v>
      </c>
      <c r="C9" s="114" t="s">
        <v>10</v>
      </c>
      <c r="D9" s="39" t="s">
        <v>11</v>
      </c>
      <c r="E9" s="39" t="s">
        <v>12</v>
      </c>
      <c r="F9" s="40" t="s">
        <v>13</v>
      </c>
      <c r="G9" s="114" t="s">
        <v>11</v>
      </c>
      <c r="H9" s="168" t="s">
        <v>12</v>
      </c>
      <c r="I9" s="40" t="s">
        <v>14</v>
      </c>
      <c r="J9" s="38" t="s">
        <v>11</v>
      </c>
      <c r="K9" s="39" t="s">
        <v>12</v>
      </c>
      <c r="L9" s="40" t="s">
        <v>15</v>
      </c>
      <c r="M9" s="294" t="s">
        <v>11</v>
      </c>
      <c r="N9" s="39" t="s">
        <v>12</v>
      </c>
      <c r="O9" s="40" t="s">
        <v>16</v>
      </c>
      <c r="P9" s="38" t="s">
        <v>11</v>
      </c>
      <c r="Q9" s="47" t="s">
        <v>168</v>
      </c>
    </row>
    <row r="10" spans="1:17" ht="15.75" customHeight="1">
      <c r="A10" s="36" t="s">
        <v>17</v>
      </c>
      <c r="B10" s="51"/>
      <c r="C10" s="115"/>
      <c r="D10" s="5"/>
      <c r="E10" s="5"/>
      <c r="F10" s="37"/>
      <c r="G10" s="115"/>
      <c r="H10" s="169"/>
      <c r="I10" s="37"/>
      <c r="J10" s="9"/>
      <c r="K10" s="5"/>
      <c r="L10" s="37"/>
      <c r="M10" s="295"/>
      <c r="N10" s="5"/>
      <c r="O10" s="37"/>
      <c r="P10" s="48"/>
      <c r="Q10" s="49"/>
    </row>
    <row r="11" spans="1:17" ht="12.75">
      <c r="A11" s="10" t="s">
        <v>239</v>
      </c>
      <c r="B11" s="52"/>
      <c r="C11" s="105">
        <f>C13+C14+C15</f>
        <v>4132740</v>
      </c>
      <c r="D11" s="74">
        <f>D13+D14+D15</f>
        <v>30285</v>
      </c>
      <c r="E11" s="74">
        <f>E13+E14+E15</f>
        <v>49680.65</v>
      </c>
      <c r="F11" s="204">
        <f aca="true" t="shared" si="0" ref="F11:Q11">F13+F14+F15</f>
        <v>4212705.65</v>
      </c>
      <c r="G11" s="105">
        <f t="shared" si="0"/>
        <v>279332.31</v>
      </c>
      <c r="H11" s="170">
        <f t="shared" si="0"/>
        <v>24784.13</v>
      </c>
      <c r="I11" s="185">
        <f t="shared" si="0"/>
        <v>4516822.09</v>
      </c>
      <c r="J11" s="238">
        <f t="shared" si="0"/>
        <v>202354.33000000002</v>
      </c>
      <c r="K11" s="255">
        <f t="shared" si="0"/>
        <v>22872.77</v>
      </c>
      <c r="L11" s="185">
        <f t="shared" si="0"/>
        <v>4742049.1899999995</v>
      </c>
      <c r="M11" s="254">
        <f t="shared" si="0"/>
        <v>85377.49</v>
      </c>
      <c r="N11" s="255">
        <f t="shared" si="0"/>
        <v>32960</v>
      </c>
      <c r="O11" s="185">
        <f t="shared" si="0"/>
        <v>4860386.68</v>
      </c>
      <c r="P11" s="238">
        <f t="shared" si="0"/>
        <v>0</v>
      </c>
      <c r="Q11" s="221">
        <f t="shared" si="0"/>
        <v>4860386.68</v>
      </c>
    </row>
    <row r="12" spans="1:17" ht="12.75">
      <c r="A12" s="11" t="s">
        <v>18</v>
      </c>
      <c r="B12" s="53"/>
      <c r="C12" s="105"/>
      <c r="D12" s="74"/>
      <c r="E12" s="74"/>
      <c r="F12" s="204"/>
      <c r="G12" s="136"/>
      <c r="H12" s="171"/>
      <c r="I12" s="185"/>
      <c r="J12" s="238"/>
      <c r="K12" s="255"/>
      <c r="L12" s="305"/>
      <c r="M12" s="254"/>
      <c r="N12" s="255"/>
      <c r="O12" s="185"/>
      <c r="P12" s="239"/>
      <c r="Q12" s="256"/>
    </row>
    <row r="13" spans="1:17" ht="12.75">
      <c r="A13" s="61" t="s">
        <v>246</v>
      </c>
      <c r="B13" s="53"/>
      <c r="C13" s="100">
        <v>4130300</v>
      </c>
      <c r="D13" s="75">
        <f>12000</f>
        <v>12000</v>
      </c>
      <c r="E13" s="75">
        <f>12000+37680.65</f>
        <v>49680.65</v>
      </c>
      <c r="F13" s="144">
        <f>C13+D13+E13</f>
        <v>4191980.65</v>
      </c>
      <c r="G13" s="146">
        <f>500+14000+740+432+3519+10000+200+56482.75+50000+15000+750+1253.56+125000+600</f>
        <v>278477.31</v>
      </c>
      <c r="H13" s="173">
        <f>24784.13</f>
        <v>24784.13</v>
      </c>
      <c r="I13" s="186">
        <f>F13+G13+H13</f>
        <v>4495242.09</v>
      </c>
      <c r="J13" s="229">
        <f>1500+1635+1586.3+11993.03+100+3500+20000+7500+4540+150000</f>
        <v>202354.33000000002</v>
      </c>
      <c r="K13" s="257">
        <f>19872.77+3000</f>
        <v>22872.77</v>
      </c>
      <c r="L13" s="186">
        <f>I13+J13+K13</f>
        <v>4720469.1899999995</v>
      </c>
      <c r="M13" s="156">
        <f>4809+2000+5000+1232.77+20000+1730+55.72+550+50000</f>
        <v>85377.49</v>
      </c>
      <c r="N13" s="257">
        <f>32880+80</f>
        <v>32960</v>
      </c>
      <c r="O13" s="186">
        <f>L13+M13+N13</f>
        <v>4838806.68</v>
      </c>
      <c r="P13" s="239"/>
      <c r="Q13" s="256">
        <f aca="true" t="shared" si="1" ref="Q13:Q80">O13+P13</f>
        <v>4838806.68</v>
      </c>
    </row>
    <row r="14" spans="1:17" ht="12.75">
      <c r="A14" s="12" t="s">
        <v>19</v>
      </c>
      <c r="B14" s="54"/>
      <c r="C14" s="100"/>
      <c r="D14" s="81">
        <f>18285</f>
        <v>18285</v>
      </c>
      <c r="E14" s="75"/>
      <c r="F14" s="144">
        <f>C14+D14+E14</f>
        <v>18285</v>
      </c>
      <c r="G14" s="146">
        <f>855</f>
        <v>855</v>
      </c>
      <c r="H14" s="172"/>
      <c r="I14" s="186">
        <f>F14+G14+H14</f>
        <v>19140</v>
      </c>
      <c r="J14" s="229"/>
      <c r="K14" s="255"/>
      <c r="L14" s="186">
        <f>I14+J14+K14</f>
        <v>19140</v>
      </c>
      <c r="M14" s="156"/>
      <c r="N14" s="255"/>
      <c r="O14" s="186">
        <f>L14+M14+N14</f>
        <v>19140</v>
      </c>
      <c r="P14" s="239"/>
      <c r="Q14" s="256">
        <f t="shared" si="1"/>
        <v>19140</v>
      </c>
    </row>
    <row r="15" spans="1:17" ht="12.75">
      <c r="A15" s="61" t="s">
        <v>247</v>
      </c>
      <c r="B15" s="54"/>
      <c r="C15" s="100">
        <v>2440</v>
      </c>
      <c r="D15" s="81"/>
      <c r="E15" s="75"/>
      <c r="F15" s="144">
        <f>C15+D15+E15</f>
        <v>2440</v>
      </c>
      <c r="G15" s="146"/>
      <c r="H15" s="172"/>
      <c r="I15" s="186">
        <f>F15+G15+H15</f>
        <v>2440</v>
      </c>
      <c r="J15" s="229"/>
      <c r="K15" s="255"/>
      <c r="L15" s="186">
        <f>I15+J15+K15</f>
        <v>2440</v>
      </c>
      <c r="M15" s="156"/>
      <c r="N15" s="255"/>
      <c r="O15" s="186">
        <f>L15+M15+N15</f>
        <v>2440</v>
      </c>
      <c r="P15" s="239"/>
      <c r="Q15" s="256">
        <f t="shared" si="1"/>
        <v>2440</v>
      </c>
    </row>
    <row r="16" spans="1:17" ht="12.75">
      <c r="A16" s="10" t="s">
        <v>240</v>
      </c>
      <c r="B16" s="52"/>
      <c r="C16" s="105">
        <f aca="true" t="shared" si="2" ref="C16:Q16">SUM(C18:C24)+C31</f>
        <v>252963.78</v>
      </c>
      <c r="D16" s="74">
        <f t="shared" si="2"/>
        <v>64059.79</v>
      </c>
      <c r="E16" s="74">
        <f t="shared" si="2"/>
        <v>0</v>
      </c>
      <c r="F16" s="204">
        <f t="shared" si="2"/>
        <v>317023.57</v>
      </c>
      <c r="G16" s="145">
        <f t="shared" si="2"/>
        <v>19816.8</v>
      </c>
      <c r="H16" s="172">
        <f t="shared" si="2"/>
        <v>1135.65</v>
      </c>
      <c r="I16" s="185">
        <f t="shared" si="2"/>
        <v>337976.01999999996</v>
      </c>
      <c r="J16" s="238">
        <f t="shared" si="2"/>
        <v>5212.74</v>
      </c>
      <c r="K16" s="255">
        <f t="shared" si="2"/>
        <v>0</v>
      </c>
      <c r="L16" s="185">
        <f t="shared" si="2"/>
        <v>343188.76</v>
      </c>
      <c r="M16" s="254">
        <f t="shared" si="2"/>
        <v>59219.86000000001</v>
      </c>
      <c r="N16" s="255">
        <f t="shared" si="2"/>
        <v>0</v>
      </c>
      <c r="O16" s="185">
        <f t="shared" si="2"/>
        <v>402408.62</v>
      </c>
      <c r="P16" s="238">
        <f t="shared" si="2"/>
        <v>0</v>
      </c>
      <c r="Q16" s="221">
        <f t="shared" si="2"/>
        <v>402408.62</v>
      </c>
    </row>
    <row r="17" spans="1:17" ht="10.5" customHeight="1">
      <c r="A17" s="11" t="s">
        <v>20</v>
      </c>
      <c r="B17" s="53"/>
      <c r="C17" s="105"/>
      <c r="D17" s="74"/>
      <c r="E17" s="74"/>
      <c r="F17" s="204"/>
      <c r="G17" s="145"/>
      <c r="H17" s="172"/>
      <c r="I17" s="185"/>
      <c r="J17" s="238"/>
      <c r="K17" s="255"/>
      <c r="L17" s="185"/>
      <c r="M17" s="254"/>
      <c r="N17" s="255"/>
      <c r="O17" s="185"/>
      <c r="P17" s="239"/>
      <c r="Q17" s="256"/>
    </row>
    <row r="18" spans="1:17" ht="12.75">
      <c r="A18" s="12" t="s">
        <v>21</v>
      </c>
      <c r="B18" s="54"/>
      <c r="C18" s="100">
        <v>1500</v>
      </c>
      <c r="D18" s="75"/>
      <c r="E18" s="75"/>
      <c r="F18" s="144">
        <f>C18+D18+E18</f>
        <v>1500</v>
      </c>
      <c r="G18" s="146"/>
      <c r="H18" s="173"/>
      <c r="I18" s="186">
        <f>F18+G18+H18</f>
        <v>1500</v>
      </c>
      <c r="J18" s="229"/>
      <c r="K18" s="257"/>
      <c r="L18" s="186">
        <f>I18+J18+K18</f>
        <v>1500</v>
      </c>
      <c r="M18" s="156">
        <f>16000+176.76+38.66+442.24+492.06</f>
        <v>17149.72</v>
      </c>
      <c r="N18" s="257"/>
      <c r="O18" s="186">
        <f>L18+M18+N18</f>
        <v>18649.72</v>
      </c>
      <c r="P18" s="239"/>
      <c r="Q18" s="256">
        <f t="shared" si="1"/>
        <v>18649.72</v>
      </c>
    </row>
    <row r="19" spans="1:17" ht="12.75">
      <c r="A19" s="61" t="s">
        <v>283</v>
      </c>
      <c r="B19" s="54"/>
      <c r="C19" s="100"/>
      <c r="D19" s="75">
        <f>47113.71</f>
        <v>47113.71</v>
      </c>
      <c r="E19" s="75"/>
      <c r="F19" s="144">
        <f aca="true" t="shared" si="3" ref="F19:F31">C19+D19+E19</f>
        <v>47113.71</v>
      </c>
      <c r="G19" s="146">
        <f>2657.81+2400+392.57+1130+1756.93+1912.52</f>
        <v>10249.83</v>
      </c>
      <c r="H19" s="173"/>
      <c r="I19" s="186">
        <f>F19+G19+H19</f>
        <v>57363.54</v>
      </c>
      <c r="J19" s="229">
        <f>1041.26+2489.74+2978.65</f>
        <v>6509.65</v>
      </c>
      <c r="K19" s="257"/>
      <c r="L19" s="186">
        <f>I19+J19+K19</f>
        <v>63873.19</v>
      </c>
      <c r="M19" s="156">
        <f>9000+2893.6+7431.38+994.88+11674.72</f>
        <v>31994.58</v>
      </c>
      <c r="N19" s="257"/>
      <c r="O19" s="186">
        <f>L19+M19+N19</f>
        <v>95867.77</v>
      </c>
      <c r="P19" s="239"/>
      <c r="Q19" s="256">
        <f t="shared" si="1"/>
        <v>95867.77</v>
      </c>
    </row>
    <row r="20" spans="1:17" ht="12.75">
      <c r="A20" s="61" t="s">
        <v>289</v>
      </c>
      <c r="B20" s="54"/>
      <c r="C20" s="100">
        <v>30000</v>
      </c>
      <c r="D20" s="75"/>
      <c r="E20" s="75"/>
      <c r="F20" s="144">
        <f t="shared" si="3"/>
        <v>30000</v>
      </c>
      <c r="G20" s="146"/>
      <c r="H20" s="173"/>
      <c r="I20" s="186">
        <f>F20+G20+H20</f>
        <v>30000</v>
      </c>
      <c r="J20" s="229"/>
      <c r="K20" s="257"/>
      <c r="L20" s="186">
        <f>I20+J20+K20</f>
        <v>30000</v>
      </c>
      <c r="M20" s="156"/>
      <c r="N20" s="257"/>
      <c r="O20" s="186">
        <f>L20+M20+N20</f>
        <v>30000</v>
      </c>
      <c r="P20" s="239"/>
      <c r="Q20" s="256">
        <f t="shared" si="1"/>
        <v>30000</v>
      </c>
    </row>
    <row r="21" spans="1:17" ht="12.75">
      <c r="A21" s="13" t="s">
        <v>284</v>
      </c>
      <c r="B21" s="55"/>
      <c r="C21" s="100">
        <v>122051</v>
      </c>
      <c r="D21" s="75"/>
      <c r="E21" s="75"/>
      <c r="F21" s="144">
        <f t="shared" si="3"/>
        <v>122051</v>
      </c>
      <c r="G21" s="146"/>
      <c r="H21" s="173"/>
      <c r="I21" s="186">
        <f>F21+G21+H21</f>
        <v>122051</v>
      </c>
      <c r="J21" s="229">
        <f>-11993.03</f>
        <v>-11993.03</v>
      </c>
      <c r="K21" s="257"/>
      <c r="L21" s="186">
        <f>I21+J21+K21</f>
        <v>110057.97</v>
      </c>
      <c r="M21" s="156"/>
      <c r="N21" s="257"/>
      <c r="O21" s="186">
        <f>L21+M21+N21</f>
        <v>110057.97</v>
      </c>
      <c r="P21" s="239"/>
      <c r="Q21" s="256">
        <f t="shared" si="1"/>
        <v>110057.97</v>
      </c>
    </row>
    <row r="22" spans="1:17" ht="12.75" hidden="1">
      <c r="A22" s="13" t="s">
        <v>285</v>
      </c>
      <c r="B22" s="55"/>
      <c r="C22" s="100"/>
      <c r="D22" s="75"/>
      <c r="E22" s="75"/>
      <c r="F22" s="144">
        <f t="shared" si="3"/>
        <v>0</v>
      </c>
      <c r="G22" s="146"/>
      <c r="H22" s="173"/>
      <c r="I22" s="186"/>
      <c r="J22" s="229"/>
      <c r="K22" s="257"/>
      <c r="L22" s="186"/>
      <c r="M22" s="156"/>
      <c r="N22" s="257"/>
      <c r="O22" s="186"/>
      <c r="P22" s="239"/>
      <c r="Q22" s="256"/>
    </row>
    <row r="23" spans="1:17" ht="12.75">
      <c r="A23" s="13" t="s">
        <v>286</v>
      </c>
      <c r="B23" s="55"/>
      <c r="C23" s="100"/>
      <c r="D23" s="75">
        <f>7.72+1217.73+220.01+1889.45+4216.45+25+47.95+119.52</f>
        <v>7743.83</v>
      </c>
      <c r="E23" s="75"/>
      <c r="F23" s="144">
        <f t="shared" si="3"/>
        <v>7743.83</v>
      </c>
      <c r="G23" s="146">
        <f>25.95+325.9+343.67+98.5+272.64+1173.1+2262.5+4105+492.8+25</f>
        <v>9125.06</v>
      </c>
      <c r="H23" s="173"/>
      <c r="I23" s="186">
        <f>F23+G23+H23</f>
        <v>16868.89</v>
      </c>
      <c r="J23" s="229">
        <f>863.44+257.9+382+2.05+1762.21+1375+106+1710.71</f>
        <v>6459.31</v>
      </c>
      <c r="K23" s="257"/>
      <c r="L23" s="186">
        <f>I23+J23+K23</f>
        <v>23328.2</v>
      </c>
      <c r="M23" s="264">
        <f>1368.45+2882.5+263.35+3767.23+25.6+44.77+383.73</f>
        <v>8735.630000000001</v>
      </c>
      <c r="N23" s="257"/>
      <c r="O23" s="186">
        <f>L23+M23+N23</f>
        <v>32063.83</v>
      </c>
      <c r="P23" s="239"/>
      <c r="Q23" s="256">
        <f t="shared" si="1"/>
        <v>32063.83</v>
      </c>
    </row>
    <row r="24" spans="1:17" ht="12.75">
      <c r="A24" s="12" t="s">
        <v>22</v>
      </c>
      <c r="B24" s="54"/>
      <c r="C24" s="100">
        <f>SUM(C25:C30)</f>
        <v>99412.78</v>
      </c>
      <c r="D24" s="75">
        <f>SUM(D25:D30)</f>
        <v>3542.9300000000003</v>
      </c>
      <c r="E24" s="75">
        <f aca="true" t="shared" si="4" ref="E24:Q24">SUM(E25:E30)</f>
        <v>0</v>
      </c>
      <c r="F24" s="144">
        <f t="shared" si="4"/>
        <v>102955.70999999999</v>
      </c>
      <c r="G24" s="146">
        <f t="shared" si="4"/>
        <v>441.91</v>
      </c>
      <c r="H24" s="173">
        <f t="shared" si="4"/>
        <v>0</v>
      </c>
      <c r="I24" s="186">
        <f t="shared" si="4"/>
        <v>103397.62</v>
      </c>
      <c r="J24" s="229">
        <f t="shared" si="4"/>
        <v>350.13</v>
      </c>
      <c r="K24" s="257">
        <f t="shared" si="4"/>
        <v>0</v>
      </c>
      <c r="L24" s="186">
        <f t="shared" si="4"/>
        <v>103747.75</v>
      </c>
      <c r="M24" s="156">
        <f t="shared" si="4"/>
        <v>904.8100000000001</v>
      </c>
      <c r="N24" s="257">
        <f t="shared" si="4"/>
        <v>0</v>
      </c>
      <c r="O24" s="186">
        <f t="shared" si="4"/>
        <v>104652.56</v>
      </c>
      <c r="P24" s="229">
        <f t="shared" si="4"/>
        <v>0</v>
      </c>
      <c r="Q24" s="220">
        <f t="shared" si="4"/>
        <v>104652.56</v>
      </c>
    </row>
    <row r="25" spans="1:17" ht="12.75">
      <c r="A25" s="12" t="s">
        <v>23</v>
      </c>
      <c r="B25" s="54"/>
      <c r="C25" s="100">
        <v>38857.2</v>
      </c>
      <c r="D25" s="75">
        <f>3490.13</f>
        <v>3490.13</v>
      </c>
      <c r="E25" s="75"/>
      <c r="F25" s="144">
        <f t="shared" si="3"/>
        <v>42347.329999999994</v>
      </c>
      <c r="G25" s="146">
        <f>441.91</f>
        <v>441.91</v>
      </c>
      <c r="H25" s="173"/>
      <c r="I25" s="186">
        <f aca="true" t="shared" si="5" ref="I25:I31">F25+G25+H25</f>
        <v>42789.24</v>
      </c>
      <c r="J25" s="229">
        <f>350.13</f>
        <v>350.13</v>
      </c>
      <c r="K25" s="257"/>
      <c r="L25" s="186">
        <f aca="true" t="shared" si="6" ref="L25:L31">I25+J25+K25</f>
        <v>43139.369999999995</v>
      </c>
      <c r="M25" s="156">
        <f>74.24+830.57</f>
        <v>904.8100000000001</v>
      </c>
      <c r="N25" s="257"/>
      <c r="O25" s="186">
        <f aca="true" t="shared" si="7" ref="O25:O31">L25+M25+N25</f>
        <v>44044.17999999999</v>
      </c>
      <c r="P25" s="239"/>
      <c r="Q25" s="256">
        <f t="shared" si="1"/>
        <v>44044.17999999999</v>
      </c>
    </row>
    <row r="26" spans="1:17" ht="12.75">
      <c r="A26" s="13" t="s">
        <v>155</v>
      </c>
      <c r="B26" s="55"/>
      <c r="C26" s="100">
        <v>696.38</v>
      </c>
      <c r="D26" s="75"/>
      <c r="E26" s="75"/>
      <c r="F26" s="144">
        <f t="shared" si="3"/>
        <v>696.38</v>
      </c>
      <c r="G26" s="146"/>
      <c r="H26" s="173"/>
      <c r="I26" s="186">
        <f t="shared" si="5"/>
        <v>696.38</v>
      </c>
      <c r="J26" s="229"/>
      <c r="K26" s="257"/>
      <c r="L26" s="186">
        <f t="shared" si="6"/>
        <v>696.38</v>
      </c>
      <c r="M26" s="156"/>
      <c r="N26" s="257"/>
      <c r="O26" s="186">
        <f t="shared" si="7"/>
        <v>696.38</v>
      </c>
      <c r="P26" s="239"/>
      <c r="Q26" s="256">
        <f t="shared" si="1"/>
        <v>696.38</v>
      </c>
    </row>
    <row r="27" spans="1:17" ht="12.75">
      <c r="A27" s="12" t="s">
        <v>24</v>
      </c>
      <c r="B27" s="54"/>
      <c r="C27" s="100">
        <v>19821</v>
      </c>
      <c r="D27" s="75"/>
      <c r="E27" s="75"/>
      <c r="F27" s="144">
        <f t="shared" si="3"/>
        <v>19821</v>
      </c>
      <c r="G27" s="146"/>
      <c r="H27" s="173"/>
      <c r="I27" s="186">
        <f t="shared" si="5"/>
        <v>19821</v>
      </c>
      <c r="J27" s="229"/>
      <c r="K27" s="257"/>
      <c r="L27" s="186">
        <f t="shared" si="6"/>
        <v>19821</v>
      </c>
      <c r="M27" s="156"/>
      <c r="N27" s="257"/>
      <c r="O27" s="186">
        <f t="shared" si="7"/>
        <v>19821</v>
      </c>
      <c r="P27" s="239"/>
      <c r="Q27" s="256">
        <f t="shared" si="1"/>
        <v>19821</v>
      </c>
    </row>
    <row r="28" spans="1:17" ht="12.75">
      <c r="A28" s="13" t="s">
        <v>156</v>
      </c>
      <c r="B28" s="55"/>
      <c r="C28" s="100">
        <v>9794.5</v>
      </c>
      <c r="D28" s="75"/>
      <c r="E28" s="75"/>
      <c r="F28" s="144">
        <f t="shared" si="3"/>
        <v>9794.5</v>
      </c>
      <c r="G28" s="146"/>
      <c r="H28" s="173"/>
      <c r="I28" s="186">
        <f t="shared" si="5"/>
        <v>9794.5</v>
      </c>
      <c r="J28" s="229"/>
      <c r="K28" s="257"/>
      <c r="L28" s="186">
        <f t="shared" si="6"/>
        <v>9794.5</v>
      </c>
      <c r="M28" s="156"/>
      <c r="N28" s="257"/>
      <c r="O28" s="186">
        <f t="shared" si="7"/>
        <v>9794.5</v>
      </c>
      <c r="P28" s="239"/>
      <c r="Q28" s="256">
        <f t="shared" si="1"/>
        <v>9794.5</v>
      </c>
    </row>
    <row r="29" spans="1:17" ht="12.75">
      <c r="A29" s="13" t="s">
        <v>267</v>
      </c>
      <c r="B29" s="55"/>
      <c r="C29" s="100">
        <v>304.8</v>
      </c>
      <c r="D29" s="75">
        <f>52.8</f>
        <v>52.8</v>
      </c>
      <c r="E29" s="75"/>
      <c r="F29" s="144">
        <f t="shared" si="3"/>
        <v>357.6</v>
      </c>
      <c r="G29" s="146"/>
      <c r="H29" s="173"/>
      <c r="I29" s="186">
        <f t="shared" si="5"/>
        <v>357.6</v>
      </c>
      <c r="J29" s="229"/>
      <c r="K29" s="257"/>
      <c r="L29" s="186">
        <f t="shared" si="6"/>
        <v>357.6</v>
      </c>
      <c r="M29" s="156"/>
      <c r="N29" s="257"/>
      <c r="O29" s="186">
        <f t="shared" si="7"/>
        <v>357.6</v>
      </c>
      <c r="P29" s="239"/>
      <c r="Q29" s="256">
        <f t="shared" si="1"/>
        <v>357.6</v>
      </c>
    </row>
    <row r="30" spans="1:17" ht="12.75">
      <c r="A30" s="13" t="s">
        <v>157</v>
      </c>
      <c r="B30" s="55"/>
      <c r="C30" s="100">
        <v>29938.9</v>
      </c>
      <c r="D30" s="75"/>
      <c r="E30" s="75"/>
      <c r="F30" s="144">
        <f t="shared" si="3"/>
        <v>29938.9</v>
      </c>
      <c r="G30" s="146"/>
      <c r="H30" s="173"/>
      <c r="I30" s="186">
        <f t="shared" si="5"/>
        <v>29938.9</v>
      </c>
      <c r="J30" s="229"/>
      <c r="K30" s="257"/>
      <c r="L30" s="186">
        <f t="shared" si="6"/>
        <v>29938.9</v>
      </c>
      <c r="M30" s="156"/>
      <c r="N30" s="257"/>
      <c r="O30" s="186">
        <f t="shared" si="7"/>
        <v>29938.9</v>
      </c>
      <c r="P30" s="239"/>
      <c r="Q30" s="256">
        <f>O30+P30</f>
        <v>29938.9</v>
      </c>
    </row>
    <row r="31" spans="1:17" ht="12.75">
      <c r="A31" s="13" t="s">
        <v>206</v>
      </c>
      <c r="B31" s="55"/>
      <c r="C31" s="100"/>
      <c r="D31" s="99">
        <f>1148.09+407+967+2082.7+113.82+940.71</f>
        <v>5659.32</v>
      </c>
      <c r="E31" s="75"/>
      <c r="F31" s="144">
        <f t="shared" si="3"/>
        <v>5659.32</v>
      </c>
      <c r="G31" s="147"/>
      <c r="H31" s="174">
        <f>1135.65</f>
        <v>1135.65</v>
      </c>
      <c r="I31" s="186">
        <f t="shared" si="5"/>
        <v>6794.969999999999</v>
      </c>
      <c r="J31" s="239">
        <f>1480.9+21.72+2384.06</f>
        <v>3886.6800000000003</v>
      </c>
      <c r="K31" s="278"/>
      <c r="L31" s="186">
        <f t="shared" si="6"/>
        <v>10681.65</v>
      </c>
      <c r="M31" s="258">
        <f>435.12</f>
        <v>435.12</v>
      </c>
      <c r="N31" s="278"/>
      <c r="O31" s="186">
        <f t="shared" si="7"/>
        <v>11116.77</v>
      </c>
      <c r="P31" s="239"/>
      <c r="Q31" s="256">
        <f t="shared" si="1"/>
        <v>11116.77</v>
      </c>
    </row>
    <row r="32" spans="1:17" ht="12.75">
      <c r="A32" s="14" t="s">
        <v>241</v>
      </c>
      <c r="B32" s="56"/>
      <c r="C32" s="96">
        <f>SUM(C34:C38)</f>
        <v>25000</v>
      </c>
      <c r="D32" s="76">
        <f aca="true" t="shared" si="8" ref="D32:Q32">SUM(D34:D38)</f>
        <v>0</v>
      </c>
      <c r="E32" s="76">
        <f t="shared" si="8"/>
        <v>0</v>
      </c>
      <c r="F32" s="139">
        <f t="shared" si="8"/>
        <v>25000</v>
      </c>
      <c r="G32" s="148">
        <f t="shared" si="8"/>
        <v>6090</v>
      </c>
      <c r="H32" s="155">
        <f t="shared" si="8"/>
        <v>0</v>
      </c>
      <c r="I32" s="187">
        <f t="shared" si="8"/>
        <v>31090</v>
      </c>
      <c r="J32" s="240">
        <f t="shared" si="8"/>
        <v>930</v>
      </c>
      <c r="K32" s="260">
        <f t="shared" si="8"/>
        <v>0</v>
      </c>
      <c r="L32" s="187">
        <f t="shared" si="8"/>
        <v>32020</v>
      </c>
      <c r="M32" s="296">
        <f t="shared" si="8"/>
        <v>-25000</v>
      </c>
      <c r="N32" s="260">
        <f t="shared" si="8"/>
        <v>0</v>
      </c>
      <c r="O32" s="187">
        <f t="shared" si="8"/>
        <v>7020</v>
      </c>
      <c r="P32" s="240">
        <f t="shared" si="8"/>
        <v>0</v>
      </c>
      <c r="Q32" s="222">
        <f t="shared" si="8"/>
        <v>7020</v>
      </c>
    </row>
    <row r="33" spans="1:17" ht="11.25" customHeight="1">
      <c r="A33" s="11" t="s">
        <v>20</v>
      </c>
      <c r="B33" s="53"/>
      <c r="C33" s="100"/>
      <c r="D33" s="75"/>
      <c r="E33" s="75"/>
      <c r="F33" s="144"/>
      <c r="G33" s="146"/>
      <c r="H33" s="173"/>
      <c r="I33" s="186"/>
      <c r="J33" s="229"/>
      <c r="K33" s="257"/>
      <c r="L33" s="186"/>
      <c r="M33" s="156"/>
      <c r="N33" s="257"/>
      <c r="O33" s="186"/>
      <c r="P33" s="239"/>
      <c r="Q33" s="256"/>
    </row>
    <row r="34" spans="1:17" ht="12.75" hidden="1">
      <c r="A34" s="61" t="s">
        <v>120</v>
      </c>
      <c r="B34" s="54"/>
      <c r="C34" s="100"/>
      <c r="D34" s="75"/>
      <c r="E34" s="75"/>
      <c r="F34" s="144">
        <f>C34+D34+E34</f>
        <v>0</v>
      </c>
      <c r="G34" s="146"/>
      <c r="H34" s="173"/>
      <c r="I34" s="186">
        <f>F34+G34+H34</f>
        <v>0</v>
      </c>
      <c r="J34" s="229"/>
      <c r="K34" s="257"/>
      <c r="L34" s="186">
        <f>I34+J34+K34</f>
        <v>0</v>
      </c>
      <c r="M34" s="156"/>
      <c r="N34" s="257"/>
      <c r="O34" s="186">
        <f>L34+M34+N34</f>
        <v>0</v>
      </c>
      <c r="P34" s="239"/>
      <c r="Q34" s="256">
        <f t="shared" si="1"/>
        <v>0</v>
      </c>
    </row>
    <row r="35" spans="1:17" ht="12.75" hidden="1">
      <c r="A35" s="13" t="s">
        <v>115</v>
      </c>
      <c r="B35" s="55"/>
      <c r="C35" s="100"/>
      <c r="D35" s="75"/>
      <c r="E35" s="75"/>
      <c r="F35" s="144">
        <f>C35+D35+E35</f>
        <v>0</v>
      </c>
      <c r="G35" s="146"/>
      <c r="H35" s="173"/>
      <c r="I35" s="186">
        <f>F35+G35+H35</f>
        <v>0</v>
      </c>
      <c r="J35" s="241"/>
      <c r="K35" s="257"/>
      <c r="L35" s="186">
        <f>I35+J35+K35</f>
        <v>0</v>
      </c>
      <c r="M35" s="264"/>
      <c r="N35" s="257"/>
      <c r="O35" s="186">
        <f>L35+M35+N35</f>
        <v>0</v>
      </c>
      <c r="P35" s="239"/>
      <c r="Q35" s="256">
        <f t="shared" si="1"/>
        <v>0</v>
      </c>
    </row>
    <row r="36" spans="1:17" ht="12.75">
      <c r="A36" s="13" t="s">
        <v>118</v>
      </c>
      <c r="B36" s="55"/>
      <c r="C36" s="100"/>
      <c r="D36" s="75"/>
      <c r="E36" s="75"/>
      <c r="F36" s="144">
        <f>C36+D36+E36</f>
        <v>0</v>
      </c>
      <c r="G36" s="146">
        <f>6090</f>
        <v>6090</v>
      </c>
      <c r="H36" s="173"/>
      <c r="I36" s="186">
        <f>F36+G36+H36</f>
        <v>6090</v>
      </c>
      <c r="J36" s="241"/>
      <c r="K36" s="257"/>
      <c r="L36" s="186">
        <f>I36+J36+K36</f>
        <v>6090</v>
      </c>
      <c r="M36" s="264"/>
      <c r="N36" s="257"/>
      <c r="O36" s="186">
        <f>L36+M36+N36</f>
        <v>6090</v>
      </c>
      <c r="P36" s="239"/>
      <c r="Q36" s="256">
        <f t="shared" si="1"/>
        <v>6090</v>
      </c>
    </row>
    <row r="37" spans="1:17" ht="12.75">
      <c r="A37" s="13" t="s">
        <v>120</v>
      </c>
      <c r="B37" s="55"/>
      <c r="C37" s="100"/>
      <c r="D37" s="75"/>
      <c r="E37" s="75"/>
      <c r="F37" s="144">
        <f>C37+D37+E37</f>
        <v>0</v>
      </c>
      <c r="G37" s="146"/>
      <c r="H37" s="173"/>
      <c r="I37" s="186">
        <f>F37+G37+H37</f>
        <v>0</v>
      </c>
      <c r="J37" s="241">
        <v>930</v>
      </c>
      <c r="K37" s="257"/>
      <c r="L37" s="186">
        <f>I37+J37+K37</f>
        <v>930</v>
      </c>
      <c r="M37" s="264"/>
      <c r="N37" s="257"/>
      <c r="O37" s="186">
        <f>L37+M37+N37</f>
        <v>930</v>
      </c>
      <c r="P37" s="239"/>
      <c r="Q37" s="256">
        <f t="shared" si="1"/>
        <v>930</v>
      </c>
    </row>
    <row r="38" spans="1:17" ht="12.75">
      <c r="A38" s="61" t="s">
        <v>268</v>
      </c>
      <c r="B38" s="54"/>
      <c r="C38" s="100">
        <v>25000</v>
      </c>
      <c r="D38" s="75"/>
      <c r="E38" s="75"/>
      <c r="F38" s="144">
        <f>C38+D38+E38</f>
        <v>25000</v>
      </c>
      <c r="G38" s="146"/>
      <c r="H38" s="173"/>
      <c r="I38" s="186">
        <f>F38+G38+H38</f>
        <v>25000</v>
      </c>
      <c r="J38" s="229"/>
      <c r="K38" s="257"/>
      <c r="L38" s="186">
        <f>I38+J38+K38</f>
        <v>25000</v>
      </c>
      <c r="M38" s="156">
        <v>-25000</v>
      </c>
      <c r="N38" s="257"/>
      <c r="O38" s="186">
        <f>L38+M38+N38</f>
        <v>0</v>
      </c>
      <c r="P38" s="239"/>
      <c r="Q38" s="256">
        <f t="shared" si="1"/>
        <v>0</v>
      </c>
    </row>
    <row r="39" spans="1:17" ht="12.75">
      <c r="A39" s="14" t="s">
        <v>242</v>
      </c>
      <c r="B39" s="54"/>
      <c r="C39" s="100"/>
      <c r="D39" s="75"/>
      <c r="E39" s="75"/>
      <c r="F39" s="144"/>
      <c r="G39" s="146"/>
      <c r="H39" s="173"/>
      <c r="I39" s="186"/>
      <c r="J39" s="229"/>
      <c r="K39" s="257"/>
      <c r="L39" s="186"/>
      <c r="M39" s="156"/>
      <c r="N39" s="257"/>
      <c r="O39" s="186"/>
      <c r="P39" s="239"/>
      <c r="Q39" s="256"/>
    </row>
    <row r="40" spans="1:17" ht="12.75">
      <c r="A40" s="10" t="s">
        <v>26</v>
      </c>
      <c r="B40" s="52"/>
      <c r="C40" s="105">
        <f>SUM(C42:C63)</f>
        <v>92300.5</v>
      </c>
      <c r="D40" s="74">
        <f aca="true" t="shared" si="9" ref="D40:Q40">SUM(D42:D63)</f>
        <v>8153461.38</v>
      </c>
      <c r="E40" s="74">
        <f t="shared" si="9"/>
        <v>0</v>
      </c>
      <c r="F40" s="204">
        <f t="shared" si="9"/>
        <v>8245761.88</v>
      </c>
      <c r="G40" s="145">
        <f t="shared" si="9"/>
        <v>163866.69999999998</v>
      </c>
      <c r="H40" s="172">
        <f t="shared" si="9"/>
        <v>0</v>
      </c>
      <c r="I40" s="185">
        <f t="shared" si="9"/>
        <v>8409628.580000002</v>
      </c>
      <c r="J40" s="238">
        <f t="shared" si="9"/>
        <v>213292.10999999993</v>
      </c>
      <c r="K40" s="255">
        <f t="shared" si="9"/>
        <v>0</v>
      </c>
      <c r="L40" s="185">
        <f t="shared" si="9"/>
        <v>8622920.690000001</v>
      </c>
      <c r="M40" s="254">
        <f t="shared" si="9"/>
        <v>239493.94999999995</v>
      </c>
      <c r="N40" s="255">
        <f t="shared" si="9"/>
        <v>0</v>
      </c>
      <c r="O40" s="185">
        <f t="shared" si="9"/>
        <v>8862414.64</v>
      </c>
      <c r="P40" s="238">
        <f t="shared" si="9"/>
        <v>0</v>
      </c>
      <c r="Q40" s="221">
        <f t="shared" si="9"/>
        <v>8862414.64</v>
      </c>
    </row>
    <row r="41" spans="1:17" ht="10.5" customHeight="1">
      <c r="A41" s="15" t="s">
        <v>27</v>
      </c>
      <c r="B41" s="57"/>
      <c r="C41" s="100"/>
      <c r="D41" s="75"/>
      <c r="E41" s="75"/>
      <c r="F41" s="144"/>
      <c r="G41" s="146"/>
      <c r="H41" s="173"/>
      <c r="I41" s="186"/>
      <c r="J41" s="229"/>
      <c r="K41" s="257"/>
      <c r="L41" s="186"/>
      <c r="M41" s="156"/>
      <c r="N41" s="257"/>
      <c r="O41" s="186"/>
      <c r="P41" s="239"/>
      <c r="Q41" s="256"/>
    </row>
    <row r="42" spans="1:17" ht="12.75">
      <c r="A42" s="13" t="s">
        <v>28</v>
      </c>
      <c r="B42" s="55"/>
      <c r="C42" s="100">
        <v>92050.5</v>
      </c>
      <c r="D42" s="75"/>
      <c r="E42" s="75"/>
      <c r="F42" s="144">
        <f aca="true" t="shared" si="10" ref="F42:F63">C42+D42+E42</f>
        <v>92050.5</v>
      </c>
      <c r="G42" s="146"/>
      <c r="H42" s="173"/>
      <c r="I42" s="186">
        <f>F42+G42+H42</f>
        <v>92050.5</v>
      </c>
      <c r="J42" s="229"/>
      <c r="K42" s="257"/>
      <c r="L42" s="186">
        <f>I42+J42+K42</f>
        <v>92050.5</v>
      </c>
      <c r="M42" s="156"/>
      <c r="N42" s="257"/>
      <c r="O42" s="186">
        <f>L42+M42+N42</f>
        <v>92050.5</v>
      </c>
      <c r="P42" s="239"/>
      <c r="Q42" s="256">
        <f t="shared" si="1"/>
        <v>92050.5</v>
      </c>
    </row>
    <row r="43" spans="1:17" ht="12.75">
      <c r="A43" s="13" t="s">
        <v>29</v>
      </c>
      <c r="B43" s="55" t="s">
        <v>323</v>
      </c>
      <c r="C43" s="100"/>
      <c r="D43" s="75">
        <f>42+15+8.7+57.92+10.67+35.64</f>
        <v>169.93</v>
      </c>
      <c r="E43" s="75"/>
      <c r="F43" s="144">
        <f t="shared" si="10"/>
        <v>169.93</v>
      </c>
      <c r="G43" s="146">
        <f>324.86+20.46+30+15+32.99+30+6+15.5+6+49+25.5+6+3.5+40.61+24+13+13+200+12+35.64+691.97</f>
        <v>1595.03</v>
      </c>
      <c r="H43" s="173"/>
      <c r="I43" s="186">
        <f aca="true" t="shared" si="11" ref="I43:I62">F43+G43+H43</f>
        <v>1764.96</v>
      </c>
      <c r="J43" s="229">
        <f>167.96+89.53+80.19+27.92+57.91+150+39+80+13+6+6+6+12+383.56+120+79+20.63+40+35+57.5</f>
        <v>1471.2</v>
      </c>
      <c r="K43" s="257"/>
      <c r="L43" s="186">
        <f aca="true" t="shared" si="12" ref="L43:L63">I43+J43+K43</f>
        <v>3236.16</v>
      </c>
      <c r="M43" s="156">
        <f>40+16.2+6+145.05+883.98+27.3+320.49+33+137.08+40.61+30+18+95.22+6+50+15+32.64+96.7</f>
        <v>1993.27</v>
      </c>
      <c r="N43" s="257"/>
      <c r="O43" s="186">
        <f aca="true" t="shared" si="13" ref="O43:O63">L43+M43+N43</f>
        <v>5229.43</v>
      </c>
      <c r="P43" s="239"/>
      <c r="Q43" s="256">
        <f t="shared" si="1"/>
        <v>5229.43</v>
      </c>
    </row>
    <row r="44" spans="1:17" ht="12.75">
      <c r="A44" s="13" t="s">
        <v>30</v>
      </c>
      <c r="B44" s="55" t="s">
        <v>324</v>
      </c>
      <c r="C44" s="100"/>
      <c r="D44" s="75">
        <f>6796592.4+82582.99+445.26+612.5+114637.51+2843+568.9+11285.15+104.38+2348.06+1251.56+1500+17100</f>
        <v>7031871.71</v>
      </c>
      <c r="E44" s="75"/>
      <c r="F44" s="144">
        <f t="shared" si="10"/>
        <v>7031871.71</v>
      </c>
      <c r="G44" s="146">
        <f>635.81+6791.4+1562.86+80846.95+17703.68+263.8+1445.75+453.97+58.8+1661.89+263.29</f>
        <v>111688.19999999998</v>
      </c>
      <c r="H44" s="173"/>
      <c r="I44" s="186">
        <f t="shared" si="11"/>
        <v>7143559.91</v>
      </c>
      <c r="J44" s="229">
        <f>3028.27+1500+857.5+84183.27-189.46+359.33+14019.33-119.77-152.65+13735.51</f>
        <v>117221.33</v>
      </c>
      <c r="K44" s="257"/>
      <c r="L44" s="186">
        <f t="shared" si="12"/>
        <v>7260781.24</v>
      </c>
      <c r="M44" s="156">
        <f>-59.31+2913.82+1079.25+3451.55+1452.12+2224.79+30504.97+175+754.5+3272.19+938.4-0.23-8122.54+720.96+5307.5+1477.72+574.12+87425.49-3248.52+1363.92+1262.25+4197.98+6908.45+2486.42+1744.74+1430.24-97.51-1207.04+498.72-450.73</f>
        <v>148979.22</v>
      </c>
      <c r="N44" s="257"/>
      <c r="O44" s="186">
        <f t="shared" si="13"/>
        <v>7409760.46</v>
      </c>
      <c r="P44" s="239"/>
      <c r="Q44" s="256">
        <f t="shared" si="1"/>
        <v>7409760.46</v>
      </c>
    </row>
    <row r="45" spans="1:17" ht="12.75">
      <c r="A45" s="13" t="s">
        <v>31</v>
      </c>
      <c r="B45" s="55" t="s">
        <v>325</v>
      </c>
      <c r="C45" s="100"/>
      <c r="D45" s="75">
        <f>825803.8+7000+5874.31</f>
        <v>838678.1100000001</v>
      </c>
      <c r="E45" s="75"/>
      <c r="F45" s="144">
        <f t="shared" si="10"/>
        <v>838678.1100000001</v>
      </c>
      <c r="G45" s="146">
        <f>580.07+2088.99+331+2971.69+557.96+380+657.38+1306.52</f>
        <v>8873.61</v>
      </c>
      <c r="H45" s="173"/>
      <c r="I45" s="186">
        <f t="shared" si="11"/>
        <v>847551.7200000001</v>
      </c>
      <c r="J45" s="229">
        <f>1392.66+1061.8+616.7-130.44+54600+397.87+731.35+886.59+5786.95+6456.57</f>
        <v>71800.04999999999</v>
      </c>
      <c r="K45" s="257"/>
      <c r="L45" s="186">
        <f t="shared" si="12"/>
        <v>919351.77</v>
      </c>
      <c r="M45" s="156">
        <f>386.66+5253.82+192.22+76502.5+1004.4-331</f>
        <v>83008.59999999999</v>
      </c>
      <c r="N45" s="257"/>
      <c r="O45" s="186">
        <f t="shared" si="13"/>
        <v>1002360.37</v>
      </c>
      <c r="P45" s="239"/>
      <c r="Q45" s="256">
        <f t="shared" si="1"/>
        <v>1002360.37</v>
      </c>
    </row>
    <row r="46" spans="1:17" ht="12.75">
      <c r="A46" s="13" t="s">
        <v>32</v>
      </c>
      <c r="B46" s="55" t="s">
        <v>326</v>
      </c>
      <c r="C46" s="100"/>
      <c r="D46" s="75">
        <f>19.89+999.1+36.95+1030.93</f>
        <v>2086.87</v>
      </c>
      <c r="E46" s="75"/>
      <c r="F46" s="144">
        <f t="shared" si="10"/>
        <v>2086.87</v>
      </c>
      <c r="G46" s="146">
        <f>110.75+2476.22+6.18+44.15+19.67+18.59+1041.26+45.85+1145.38+727.53+319.36+898.1+9.02+50.27+17.55+1708.41+9.1+29.37+891.31+1691.74+224.58+59.22</f>
        <v>11543.61</v>
      </c>
      <c r="H46" s="173"/>
      <c r="I46" s="186">
        <f t="shared" si="11"/>
        <v>13630.48</v>
      </c>
      <c r="J46" s="229">
        <f>681.92+511.29+792.65+30.25+1184.89+13.89+10.67+9.05+23.43+38.2+13.34</f>
        <v>3309.58</v>
      </c>
      <c r="K46" s="257"/>
      <c r="L46" s="186">
        <f t="shared" si="12"/>
        <v>16940.059999999998</v>
      </c>
      <c r="M46" s="156">
        <f>305.27+765.31+9.29+2044.77+281.32+994.88+13.29+23.16+310.88+25</f>
        <v>4773.17</v>
      </c>
      <c r="N46" s="257"/>
      <c r="O46" s="186">
        <f t="shared" si="13"/>
        <v>21713.229999999996</v>
      </c>
      <c r="P46" s="239"/>
      <c r="Q46" s="256">
        <f t="shared" si="1"/>
        <v>21713.229999999996</v>
      </c>
    </row>
    <row r="47" spans="1:17" ht="12.75">
      <c r="A47" s="13" t="s">
        <v>33</v>
      </c>
      <c r="B47" s="55" t="s">
        <v>357</v>
      </c>
      <c r="C47" s="100"/>
      <c r="D47" s="75"/>
      <c r="E47" s="75"/>
      <c r="F47" s="144">
        <f t="shared" si="10"/>
        <v>0</v>
      </c>
      <c r="G47" s="146">
        <f>23+100+26+74+117+162+160+340</f>
        <v>1002</v>
      </c>
      <c r="H47" s="173"/>
      <c r="I47" s="186">
        <f t="shared" si="11"/>
        <v>1002</v>
      </c>
      <c r="J47" s="229">
        <f>47+57+47+291+100+80+53+111+168+91+61</f>
        <v>1106</v>
      </c>
      <c r="K47" s="257"/>
      <c r="L47" s="186">
        <f t="shared" si="12"/>
        <v>2108</v>
      </c>
      <c r="M47" s="156">
        <f>49.59+54.31</f>
        <v>103.9</v>
      </c>
      <c r="N47" s="257"/>
      <c r="O47" s="186">
        <f t="shared" si="13"/>
        <v>2211.9</v>
      </c>
      <c r="P47" s="239"/>
      <c r="Q47" s="256">
        <f t="shared" si="1"/>
        <v>2211.9</v>
      </c>
    </row>
    <row r="48" spans="1:17" ht="12.75">
      <c r="A48" s="13" t="s">
        <v>34</v>
      </c>
      <c r="B48" s="55" t="s">
        <v>327</v>
      </c>
      <c r="C48" s="100"/>
      <c r="D48" s="75">
        <f>2000</f>
        <v>2000</v>
      </c>
      <c r="E48" s="75"/>
      <c r="F48" s="144">
        <f t="shared" si="10"/>
        <v>2000</v>
      </c>
      <c r="G48" s="146">
        <f>3510.21</f>
        <v>3510.21</v>
      </c>
      <c r="H48" s="173"/>
      <c r="I48" s="186">
        <f t="shared" si="11"/>
        <v>5510.21</v>
      </c>
      <c r="J48" s="229">
        <f>5508.44+8879.13+219.7</f>
        <v>14607.27</v>
      </c>
      <c r="K48" s="257"/>
      <c r="L48" s="186">
        <f t="shared" si="12"/>
        <v>20117.48</v>
      </c>
      <c r="M48" s="156"/>
      <c r="N48" s="257"/>
      <c r="O48" s="186">
        <f t="shared" si="13"/>
        <v>20117.48</v>
      </c>
      <c r="P48" s="239"/>
      <c r="Q48" s="256">
        <f t="shared" si="1"/>
        <v>20117.48</v>
      </c>
    </row>
    <row r="49" spans="1:17" ht="12.75">
      <c r="A49" s="13" t="s">
        <v>35</v>
      </c>
      <c r="B49" s="55" t="s">
        <v>331</v>
      </c>
      <c r="C49" s="100"/>
      <c r="D49" s="75"/>
      <c r="E49" s="75"/>
      <c r="F49" s="144">
        <f t="shared" si="10"/>
        <v>0</v>
      </c>
      <c r="G49" s="146">
        <f>500+1300</f>
        <v>1800</v>
      </c>
      <c r="H49" s="173"/>
      <c r="I49" s="186">
        <f t="shared" si="11"/>
        <v>1800</v>
      </c>
      <c r="J49" s="229">
        <f>192</f>
        <v>192</v>
      </c>
      <c r="K49" s="257"/>
      <c r="L49" s="186">
        <f t="shared" si="12"/>
        <v>1992</v>
      </c>
      <c r="M49" s="156"/>
      <c r="N49" s="257"/>
      <c r="O49" s="186">
        <f t="shared" si="13"/>
        <v>1992</v>
      </c>
      <c r="P49" s="239"/>
      <c r="Q49" s="256">
        <f t="shared" si="1"/>
        <v>1992</v>
      </c>
    </row>
    <row r="50" spans="1:17" ht="12.75">
      <c r="A50" s="13" t="s">
        <v>149</v>
      </c>
      <c r="B50" s="55" t="s">
        <v>328</v>
      </c>
      <c r="C50" s="100"/>
      <c r="D50" s="75">
        <f>277153.29</f>
        <v>277153.29</v>
      </c>
      <c r="E50" s="75"/>
      <c r="F50" s="144">
        <f t="shared" si="10"/>
        <v>277153.29</v>
      </c>
      <c r="G50" s="146"/>
      <c r="H50" s="173"/>
      <c r="I50" s="186">
        <f t="shared" si="11"/>
        <v>277153.29</v>
      </c>
      <c r="J50" s="229"/>
      <c r="K50" s="257"/>
      <c r="L50" s="186">
        <f t="shared" si="12"/>
        <v>277153.29</v>
      </c>
      <c r="M50" s="156"/>
      <c r="N50" s="257"/>
      <c r="O50" s="186">
        <f t="shared" si="13"/>
        <v>277153.29</v>
      </c>
      <c r="P50" s="239"/>
      <c r="Q50" s="256">
        <f t="shared" si="1"/>
        <v>277153.29</v>
      </c>
    </row>
    <row r="51" spans="1:17" ht="12.75">
      <c r="A51" s="13" t="s">
        <v>160</v>
      </c>
      <c r="B51" s="55" t="s">
        <v>329</v>
      </c>
      <c r="C51" s="100"/>
      <c r="D51" s="75">
        <f>1017.81</f>
        <v>1017.81</v>
      </c>
      <c r="E51" s="75"/>
      <c r="F51" s="144">
        <f t="shared" si="10"/>
        <v>1017.81</v>
      </c>
      <c r="G51" s="146">
        <f>4049.47</f>
        <v>4049.47</v>
      </c>
      <c r="H51" s="173"/>
      <c r="I51" s="186">
        <f t="shared" si="11"/>
        <v>5067.28</v>
      </c>
      <c r="J51" s="229"/>
      <c r="K51" s="257"/>
      <c r="L51" s="186">
        <f t="shared" si="12"/>
        <v>5067.28</v>
      </c>
      <c r="M51" s="156"/>
      <c r="N51" s="257"/>
      <c r="O51" s="186">
        <f t="shared" si="13"/>
        <v>5067.28</v>
      </c>
      <c r="P51" s="239"/>
      <c r="Q51" s="256">
        <f t="shared" si="1"/>
        <v>5067.28</v>
      </c>
    </row>
    <row r="52" spans="1:17" ht="12.75">
      <c r="A52" s="13" t="s">
        <v>349</v>
      </c>
      <c r="B52" s="55" t="s">
        <v>350</v>
      </c>
      <c r="C52" s="100"/>
      <c r="D52" s="75"/>
      <c r="E52" s="75"/>
      <c r="F52" s="144">
        <f t="shared" si="10"/>
        <v>0</v>
      </c>
      <c r="G52" s="146">
        <f>66.06</f>
        <v>66.06</v>
      </c>
      <c r="H52" s="173"/>
      <c r="I52" s="186">
        <f t="shared" si="11"/>
        <v>66.06</v>
      </c>
      <c r="J52" s="229">
        <f>250.58</f>
        <v>250.58</v>
      </c>
      <c r="K52" s="257"/>
      <c r="L52" s="186">
        <f t="shared" si="12"/>
        <v>316.64</v>
      </c>
      <c r="M52" s="156"/>
      <c r="N52" s="257"/>
      <c r="O52" s="186">
        <f t="shared" si="13"/>
        <v>316.64</v>
      </c>
      <c r="P52" s="239"/>
      <c r="Q52" s="256">
        <f t="shared" si="1"/>
        <v>316.64</v>
      </c>
    </row>
    <row r="53" spans="1:17" ht="12.75">
      <c r="A53" s="13" t="s">
        <v>36</v>
      </c>
      <c r="B53" s="55" t="s">
        <v>332</v>
      </c>
      <c r="C53" s="100"/>
      <c r="D53" s="75"/>
      <c r="E53" s="75"/>
      <c r="F53" s="144">
        <f t="shared" si="10"/>
        <v>0</v>
      </c>
      <c r="G53" s="146">
        <f>334.35+269.32+1581.16+499.26+247.14</f>
        <v>2931.23</v>
      </c>
      <c r="H53" s="173"/>
      <c r="I53" s="186">
        <f t="shared" si="11"/>
        <v>2931.23</v>
      </c>
      <c r="J53" s="229"/>
      <c r="K53" s="257"/>
      <c r="L53" s="186">
        <f t="shared" si="12"/>
        <v>2931.23</v>
      </c>
      <c r="M53" s="156"/>
      <c r="N53" s="257"/>
      <c r="O53" s="186">
        <f t="shared" si="13"/>
        <v>2931.23</v>
      </c>
      <c r="P53" s="259"/>
      <c r="Q53" s="256">
        <f t="shared" si="1"/>
        <v>2931.23</v>
      </c>
    </row>
    <row r="54" spans="1:17" ht="12.75">
      <c r="A54" s="13" t="s">
        <v>37</v>
      </c>
      <c r="B54" s="55" t="s">
        <v>333</v>
      </c>
      <c r="C54" s="100"/>
      <c r="D54" s="75"/>
      <c r="E54" s="75"/>
      <c r="F54" s="144">
        <f t="shared" si="10"/>
        <v>0</v>
      </c>
      <c r="G54" s="146">
        <f>250+180</f>
        <v>430</v>
      </c>
      <c r="H54" s="173"/>
      <c r="I54" s="186">
        <f t="shared" si="11"/>
        <v>430</v>
      </c>
      <c r="J54" s="241">
        <f>225</f>
        <v>225</v>
      </c>
      <c r="K54" s="257"/>
      <c r="L54" s="186">
        <f t="shared" si="12"/>
        <v>655</v>
      </c>
      <c r="M54" s="156"/>
      <c r="N54" s="257"/>
      <c r="O54" s="186">
        <f t="shared" si="13"/>
        <v>655</v>
      </c>
      <c r="P54" s="239"/>
      <c r="Q54" s="256">
        <f t="shared" si="1"/>
        <v>655</v>
      </c>
    </row>
    <row r="55" spans="1:17" ht="12.75" hidden="1">
      <c r="A55" s="13" t="s">
        <v>215</v>
      </c>
      <c r="B55" s="55"/>
      <c r="C55" s="100"/>
      <c r="D55" s="75"/>
      <c r="E55" s="75"/>
      <c r="F55" s="144">
        <f t="shared" si="10"/>
        <v>0</v>
      </c>
      <c r="G55" s="146"/>
      <c r="H55" s="173"/>
      <c r="I55" s="186">
        <f t="shared" si="11"/>
        <v>0</v>
      </c>
      <c r="J55" s="241"/>
      <c r="K55" s="257"/>
      <c r="L55" s="186"/>
      <c r="M55" s="156"/>
      <c r="N55" s="257"/>
      <c r="O55" s="186">
        <f t="shared" si="13"/>
        <v>0</v>
      </c>
      <c r="P55" s="239"/>
      <c r="Q55" s="256">
        <f t="shared" si="1"/>
        <v>0</v>
      </c>
    </row>
    <row r="56" spans="1:17" ht="12.75" hidden="1">
      <c r="A56" s="13" t="s">
        <v>161</v>
      </c>
      <c r="B56" s="55" t="s">
        <v>334</v>
      </c>
      <c r="C56" s="100"/>
      <c r="D56" s="75"/>
      <c r="E56" s="75"/>
      <c r="F56" s="144">
        <f t="shared" si="10"/>
        <v>0</v>
      </c>
      <c r="G56" s="146"/>
      <c r="H56" s="173"/>
      <c r="I56" s="186">
        <f t="shared" si="11"/>
        <v>0</v>
      </c>
      <c r="J56" s="241"/>
      <c r="K56" s="257"/>
      <c r="L56" s="186"/>
      <c r="M56" s="156"/>
      <c r="N56" s="257"/>
      <c r="O56" s="186">
        <f t="shared" si="13"/>
        <v>0</v>
      </c>
      <c r="P56" s="239"/>
      <c r="Q56" s="256">
        <f t="shared" si="1"/>
        <v>0</v>
      </c>
    </row>
    <row r="57" spans="1:17" ht="12.75" hidden="1">
      <c r="A57" s="13" t="s">
        <v>38</v>
      </c>
      <c r="B57" s="55"/>
      <c r="C57" s="100"/>
      <c r="D57" s="75"/>
      <c r="E57" s="75"/>
      <c r="F57" s="144">
        <f t="shared" si="10"/>
        <v>0</v>
      </c>
      <c r="G57" s="146"/>
      <c r="H57" s="173"/>
      <c r="I57" s="186">
        <f t="shared" si="11"/>
        <v>0</v>
      </c>
      <c r="J57" s="229"/>
      <c r="K57" s="257"/>
      <c r="L57" s="186">
        <f t="shared" si="12"/>
        <v>0</v>
      </c>
      <c r="M57" s="156"/>
      <c r="N57" s="257"/>
      <c r="O57" s="186">
        <f t="shared" si="13"/>
        <v>0</v>
      </c>
      <c r="P57" s="239"/>
      <c r="Q57" s="256">
        <f t="shared" si="1"/>
        <v>0</v>
      </c>
    </row>
    <row r="58" spans="1:17" ht="12.75" hidden="1">
      <c r="A58" s="13" t="s">
        <v>48</v>
      </c>
      <c r="B58" s="55"/>
      <c r="C58" s="100"/>
      <c r="D58" s="75"/>
      <c r="E58" s="75"/>
      <c r="F58" s="144">
        <f t="shared" si="10"/>
        <v>0</v>
      </c>
      <c r="G58" s="146"/>
      <c r="H58" s="173"/>
      <c r="I58" s="186">
        <f t="shared" si="11"/>
        <v>0</v>
      </c>
      <c r="J58" s="229"/>
      <c r="K58" s="257"/>
      <c r="L58" s="186">
        <f t="shared" si="12"/>
        <v>0</v>
      </c>
      <c r="M58" s="156"/>
      <c r="N58" s="257"/>
      <c r="O58" s="186">
        <f t="shared" si="13"/>
        <v>0</v>
      </c>
      <c r="P58" s="239"/>
      <c r="Q58" s="256">
        <f t="shared" si="1"/>
        <v>0</v>
      </c>
    </row>
    <row r="59" spans="1:17" ht="12.75">
      <c r="A59" s="13" t="s">
        <v>39</v>
      </c>
      <c r="B59" s="55" t="s">
        <v>330</v>
      </c>
      <c r="C59" s="100"/>
      <c r="D59" s="75"/>
      <c r="E59" s="75"/>
      <c r="F59" s="144">
        <f t="shared" si="10"/>
        <v>0</v>
      </c>
      <c r="G59" s="146">
        <f>15000</f>
        <v>15000</v>
      </c>
      <c r="H59" s="173"/>
      <c r="I59" s="186">
        <f t="shared" si="11"/>
        <v>15000</v>
      </c>
      <c r="J59" s="229"/>
      <c r="K59" s="257"/>
      <c r="L59" s="186">
        <f t="shared" si="12"/>
        <v>15000</v>
      </c>
      <c r="M59" s="156"/>
      <c r="N59" s="257"/>
      <c r="O59" s="186">
        <f t="shared" si="13"/>
        <v>15000</v>
      </c>
      <c r="P59" s="239"/>
      <c r="Q59" s="256">
        <f t="shared" si="1"/>
        <v>15000</v>
      </c>
    </row>
    <row r="60" spans="1:17" ht="12.75">
      <c r="A60" s="13" t="s">
        <v>372</v>
      </c>
      <c r="B60" s="55" t="s">
        <v>373</v>
      </c>
      <c r="C60" s="100"/>
      <c r="D60" s="75"/>
      <c r="E60" s="75"/>
      <c r="F60" s="144"/>
      <c r="G60" s="146"/>
      <c r="H60" s="173"/>
      <c r="I60" s="186">
        <f t="shared" si="11"/>
        <v>0</v>
      </c>
      <c r="J60" s="229">
        <f>1311.55</f>
        <v>1311.55</v>
      </c>
      <c r="K60" s="257"/>
      <c r="L60" s="186">
        <f t="shared" si="12"/>
        <v>1311.55</v>
      </c>
      <c r="M60" s="156"/>
      <c r="N60" s="257"/>
      <c r="O60" s="186">
        <f t="shared" si="13"/>
        <v>1311.55</v>
      </c>
      <c r="P60" s="239"/>
      <c r="Q60" s="256">
        <f t="shared" si="1"/>
        <v>1311.55</v>
      </c>
    </row>
    <row r="61" spans="1:17" ht="12.75">
      <c r="A61" s="13" t="s">
        <v>40</v>
      </c>
      <c r="B61" s="55" t="s">
        <v>342</v>
      </c>
      <c r="C61" s="100"/>
      <c r="D61" s="75">
        <f>146.37+337.29</f>
        <v>483.66</v>
      </c>
      <c r="E61" s="75"/>
      <c r="F61" s="144">
        <f t="shared" si="10"/>
        <v>483.66</v>
      </c>
      <c r="G61" s="146">
        <f>105.08+750.63+316.11</f>
        <v>1171.8200000000002</v>
      </c>
      <c r="H61" s="173"/>
      <c r="I61" s="186">
        <f t="shared" si="11"/>
        <v>1655.4800000000002</v>
      </c>
      <c r="J61" s="229"/>
      <c r="K61" s="257"/>
      <c r="L61" s="186">
        <f t="shared" si="12"/>
        <v>1655.4800000000002</v>
      </c>
      <c r="M61" s="156">
        <f>157.92+393.67-7.32</f>
        <v>544.27</v>
      </c>
      <c r="N61" s="257"/>
      <c r="O61" s="186">
        <f t="shared" si="13"/>
        <v>2199.75</v>
      </c>
      <c r="P61" s="239"/>
      <c r="Q61" s="256">
        <f t="shared" si="1"/>
        <v>2199.75</v>
      </c>
    </row>
    <row r="62" spans="1:17" ht="12.75">
      <c r="A62" s="13" t="s">
        <v>396</v>
      </c>
      <c r="B62" s="55" t="s">
        <v>390</v>
      </c>
      <c r="C62" s="100">
        <v>250</v>
      </c>
      <c r="D62" s="75"/>
      <c r="E62" s="75"/>
      <c r="F62" s="144">
        <f t="shared" si="10"/>
        <v>250</v>
      </c>
      <c r="G62" s="146">
        <f>205.46</f>
        <v>205.46</v>
      </c>
      <c r="H62" s="173"/>
      <c r="I62" s="186">
        <f t="shared" si="11"/>
        <v>455.46000000000004</v>
      </c>
      <c r="J62" s="229">
        <f>1797.55</f>
        <v>1797.55</v>
      </c>
      <c r="K62" s="257"/>
      <c r="L62" s="186">
        <f t="shared" si="12"/>
        <v>2253.01</v>
      </c>
      <c r="M62" s="156">
        <f>91.52</f>
        <v>91.52</v>
      </c>
      <c r="N62" s="257"/>
      <c r="O62" s="186">
        <f t="shared" si="13"/>
        <v>2344.53</v>
      </c>
      <c r="P62" s="239"/>
      <c r="Q62" s="256">
        <f t="shared" si="1"/>
        <v>2344.53</v>
      </c>
    </row>
    <row r="63" spans="1:17" ht="12.75" hidden="1">
      <c r="A63" s="13" t="s">
        <v>165</v>
      </c>
      <c r="B63" s="55"/>
      <c r="C63" s="100"/>
      <c r="D63" s="75"/>
      <c r="E63" s="75"/>
      <c r="F63" s="144">
        <f t="shared" si="10"/>
        <v>0</v>
      </c>
      <c r="G63" s="146"/>
      <c r="H63" s="173"/>
      <c r="I63" s="186"/>
      <c r="J63" s="229"/>
      <c r="K63" s="257"/>
      <c r="L63" s="186">
        <f t="shared" si="12"/>
        <v>0</v>
      </c>
      <c r="M63" s="156"/>
      <c r="N63" s="257"/>
      <c r="O63" s="186">
        <f t="shared" si="13"/>
        <v>0</v>
      </c>
      <c r="P63" s="239"/>
      <c r="Q63" s="256">
        <f t="shared" si="1"/>
        <v>0</v>
      </c>
    </row>
    <row r="64" spans="1:17" ht="12.75" hidden="1">
      <c r="A64" s="14" t="s">
        <v>41</v>
      </c>
      <c r="B64" s="56"/>
      <c r="C64" s="96">
        <f>SUM(C66:C68)</f>
        <v>0</v>
      </c>
      <c r="D64" s="76">
        <f>SUM(D66:D68)</f>
        <v>0</v>
      </c>
      <c r="E64" s="76">
        <f>SUM(E66:E68)</f>
        <v>0</v>
      </c>
      <c r="F64" s="139">
        <f>SUM(F66:F68)</f>
        <v>0</v>
      </c>
      <c r="G64" s="148"/>
      <c r="H64" s="155"/>
      <c r="I64" s="187">
        <f>SUM(I66:I68)</f>
        <v>0</v>
      </c>
      <c r="J64" s="240"/>
      <c r="K64" s="260"/>
      <c r="L64" s="187">
        <f>SUM(L66:L68)</f>
        <v>0</v>
      </c>
      <c r="M64" s="296"/>
      <c r="N64" s="260"/>
      <c r="O64" s="187">
        <f>SUM(O66:O68)</f>
        <v>0</v>
      </c>
      <c r="P64" s="240"/>
      <c r="Q64" s="222">
        <f>SUM(Q66:Q68)</f>
        <v>0</v>
      </c>
    </row>
    <row r="65" spans="1:17" ht="12.75" hidden="1">
      <c r="A65" s="11" t="s">
        <v>27</v>
      </c>
      <c r="B65" s="53"/>
      <c r="C65" s="100"/>
      <c r="D65" s="75"/>
      <c r="E65" s="75"/>
      <c r="F65" s="144"/>
      <c r="G65" s="146"/>
      <c r="H65" s="173"/>
      <c r="I65" s="186"/>
      <c r="J65" s="229"/>
      <c r="K65" s="257"/>
      <c r="L65" s="186"/>
      <c r="M65" s="156"/>
      <c r="N65" s="257"/>
      <c r="O65" s="186">
        <f>L65+M65+N65</f>
        <v>0</v>
      </c>
      <c r="P65" s="239"/>
      <c r="Q65" s="256"/>
    </row>
    <row r="66" spans="1:17" ht="12.75" hidden="1">
      <c r="A66" s="13" t="s">
        <v>42</v>
      </c>
      <c r="B66" s="55"/>
      <c r="C66" s="100"/>
      <c r="D66" s="75"/>
      <c r="E66" s="75"/>
      <c r="F66" s="144">
        <f>C66+D66+E66</f>
        <v>0</v>
      </c>
      <c r="G66" s="146"/>
      <c r="H66" s="173"/>
      <c r="I66" s="186">
        <f>F66+G66+H66</f>
        <v>0</v>
      </c>
      <c r="J66" s="229"/>
      <c r="K66" s="257"/>
      <c r="L66" s="186">
        <f>I66+J66+K66</f>
        <v>0</v>
      </c>
      <c r="M66" s="156"/>
      <c r="N66" s="257"/>
      <c r="O66" s="186">
        <f>L66+M66+N66</f>
        <v>0</v>
      </c>
      <c r="P66" s="239"/>
      <c r="Q66" s="256">
        <f t="shared" si="1"/>
        <v>0</v>
      </c>
    </row>
    <row r="67" spans="1:17" ht="12.75" hidden="1">
      <c r="A67" s="13" t="s">
        <v>43</v>
      </c>
      <c r="B67" s="55"/>
      <c r="C67" s="100"/>
      <c r="D67" s="75"/>
      <c r="E67" s="75"/>
      <c r="F67" s="144">
        <f>C67+D67+E67</f>
        <v>0</v>
      </c>
      <c r="G67" s="146"/>
      <c r="H67" s="173"/>
      <c r="I67" s="186">
        <f>F67+G67+H67</f>
        <v>0</v>
      </c>
      <c r="J67" s="229"/>
      <c r="K67" s="257"/>
      <c r="L67" s="186">
        <f>I67+J67+K67</f>
        <v>0</v>
      </c>
      <c r="M67" s="156"/>
      <c r="N67" s="257"/>
      <c r="O67" s="186">
        <f>L67+M67+N67</f>
        <v>0</v>
      </c>
      <c r="P67" s="239"/>
      <c r="Q67" s="256">
        <f t="shared" si="1"/>
        <v>0</v>
      </c>
    </row>
    <row r="68" spans="1:17" ht="12.75" hidden="1">
      <c r="A68" s="13" t="s">
        <v>44</v>
      </c>
      <c r="B68" s="55"/>
      <c r="C68" s="100"/>
      <c r="D68" s="75"/>
      <c r="E68" s="75"/>
      <c r="F68" s="144">
        <f>C68+D68+E68</f>
        <v>0</v>
      </c>
      <c r="G68" s="146"/>
      <c r="H68" s="173"/>
      <c r="I68" s="186">
        <f>F68+G68+H68</f>
        <v>0</v>
      </c>
      <c r="J68" s="229"/>
      <c r="K68" s="257"/>
      <c r="L68" s="186">
        <f>I68+J68+K68</f>
        <v>0</v>
      </c>
      <c r="M68" s="156"/>
      <c r="N68" s="257"/>
      <c r="O68" s="186">
        <f>L68+M68+N68</f>
        <v>0</v>
      </c>
      <c r="P68" s="239"/>
      <c r="Q68" s="256">
        <f t="shared" si="1"/>
        <v>0</v>
      </c>
    </row>
    <row r="69" spans="1:17" ht="12.75">
      <c r="A69" s="10" t="s">
        <v>45</v>
      </c>
      <c r="B69" s="52"/>
      <c r="C69" s="105">
        <f>SUM(C71:C85)</f>
        <v>0</v>
      </c>
      <c r="D69" s="74">
        <f aca="true" t="shared" si="14" ref="D69:Q69">SUM(D71:D85)</f>
        <v>258319.56</v>
      </c>
      <c r="E69" s="74">
        <f t="shared" si="14"/>
        <v>0</v>
      </c>
      <c r="F69" s="204">
        <f t="shared" si="14"/>
        <v>258319.56</v>
      </c>
      <c r="G69" s="145">
        <f t="shared" si="14"/>
        <v>407114.56</v>
      </c>
      <c r="H69" s="172">
        <f t="shared" si="14"/>
        <v>0</v>
      </c>
      <c r="I69" s="185">
        <f t="shared" si="14"/>
        <v>665434.1199999999</v>
      </c>
      <c r="J69" s="238">
        <f t="shared" si="14"/>
        <v>340914.99000000005</v>
      </c>
      <c r="K69" s="255">
        <f t="shared" si="14"/>
        <v>0</v>
      </c>
      <c r="L69" s="185">
        <f t="shared" si="14"/>
        <v>1006349.1099999999</v>
      </c>
      <c r="M69" s="254">
        <f t="shared" si="14"/>
        <v>311548.16</v>
      </c>
      <c r="N69" s="255">
        <f t="shared" si="14"/>
        <v>0</v>
      </c>
      <c r="O69" s="185">
        <f t="shared" si="14"/>
        <v>1317897.2699999998</v>
      </c>
      <c r="P69" s="238">
        <f t="shared" si="14"/>
        <v>0</v>
      </c>
      <c r="Q69" s="221">
        <f t="shared" si="14"/>
        <v>1317897.2699999998</v>
      </c>
    </row>
    <row r="70" spans="1:17" ht="12.75">
      <c r="A70" s="15" t="s">
        <v>27</v>
      </c>
      <c r="B70" s="57"/>
      <c r="C70" s="100"/>
      <c r="D70" s="75"/>
      <c r="E70" s="75"/>
      <c r="F70" s="144"/>
      <c r="G70" s="146"/>
      <c r="H70" s="173"/>
      <c r="I70" s="186"/>
      <c r="J70" s="229"/>
      <c r="K70" s="257"/>
      <c r="L70" s="186"/>
      <c r="M70" s="156"/>
      <c r="N70" s="257"/>
      <c r="O70" s="186"/>
      <c r="P70" s="239"/>
      <c r="Q70" s="256"/>
    </row>
    <row r="71" spans="1:17" ht="12.75">
      <c r="A71" s="13" t="s">
        <v>30</v>
      </c>
      <c r="B71" s="55" t="s">
        <v>324</v>
      </c>
      <c r="C71" s="100"/>
      <c r="D71" s="75">
        <f>3015.83</f>
        <v>3015.83</v>
      </c>
      <c r="E71" s="75"/>
      <c r="F71" s="144">
        <f aca="true" t="shared" si="15" ref="F71:F85">C71+D71+E71</f>
        <v>3015.83</v>
      </c>
      <c r="G71" s="146"/>
      <c r="H71" s="173"/>
      <c r="I71" s="186">
        <f>F71+G71+H71</f>
        <v>3015.83</v>
      </c>
      <c r="J71" s="229">
        <f>116</f>
        <v>116</v>
      </c>
      <c r="K71" s="257"/>
      <c r="L71" s="186">
        <f>I71+J71+K71</f>
        <v>3131.83</v>
      </c>
      <c r="M71" s="156"/>
      <c r="N71" s="257"/>
      <c r="O71" s="186">
        <f>L71+M71+N71</f>
        <v>3131.83</v>
      </c>
      <c r="P71" s="239"/>
      <c r="Q71" s="256">
        <f t="shared" si="1"/>
        <v>3131.83</v>
      </c>
    </row>
    <row r="72" spans="1:17" ht="12.75" hidden="1">
      <c r="A72" s="17" t="s">
        <v>31</v>
      </c>
      <c r="B72" s="58" t="s">
        <v>325</v>
      </c>
      <c r="C72" s="100"/>
      <c r="D72" s="75"/>
      <c r="E72" s="75"/>
      <c r="F72" s="144">
        <f t="shared" si="15"/>
        <v>0</v>
      </c>
      <c r="G72" s="146"/>
      <c r="H72" s="173"/>
      <c r="I72" s="186">
        <f aca="true" t="shared" si="16" ref="I72:I85">F72+G72+H72</f>
        <v>0</v>
      </c>
      <c r="J72" s="229"/>
      <c r="K72" s="257"/>
      <c r="L72" s="186">
        <f aca="true" t="shared" si="17" ref="L72:L85">I72+J72+K72</f>
        <v>0</v>
      </c>
      <c r="M72" s="156"/>
      <c r="N72" s="257"/>
      <c r="O72" s="186">
        <f aca="true" t="shared" si="18" ref="O72:O85">L72+M72+N72</f>
        <v>0</v>
      </c>
      <c r="P72" s="239"/>
      <c r="Q72" s="256">
        <f t="shared" si="1"/>
        <v>0</v>
      </c>
    </row>
    <row r="73" spans="1:17" ht="12.75">
      <c r="A73" s="17" t="s">
        <v>29</v>
      </c>
      <c r="B73" s="58" t="s">
        <v>323</v>
      </c>
      <c r="C73" s="100"/>
      <c r="D73" s="75">
        <f>33000</f>
        <v>33000</v>
      </c>
      <c r="E73" s="75"/>
      <c r="F73" s="144">
        <f t="shared" si="15"/>
        <v>33000</v>
      </c>
      <c r="G73" s="146"/>
      <c r="H73" s="173"/>
      <c r="I73" s="186">
        <f t="shared" si="16"/>
        <v>33000</v>
      </c>
      <c r="J73" s="229"/>
      <c r="K73" s="257"/>
      <c r="L73" s="186">
        <f t="shared" si="17"/>
        <v>33000</v>
      </c>
      <c r="M73" s="156">
        <v>2329.81</v>
      </c>
      <c r="N73" s="257"/>
      <c r="O73" s="186">
        <f t="shared" si="18"/>
        <v>35329.81</v>
      </c>
      <c r="P73" s="239"/>
      <c r="Q73" s="256">
        <f t="shared" si="1"/>
        <v>35329.81</v>
      </c>
    </row>
    <row r="74" spans="1:17" ht="12.75">
      <c r="A74" s="17" t="s">
        <v>46</v>
      </c>
      <c r="B74" s="58" t="s">
        <v>335</v>
      </c>
      <c r="C74" s="100"/>
      <c r="D74" s="75"/>
      <c r="E74" s="75"/>
      <c r="F74" s="144">
        <f t="shared" si="15"/>
        <v>0</v>
      </c>
      <c r="G74" s="146"/>
      <c r="H74" s="173"/>
      <c r="I74" s="186">
        <f t="shared" si="16"/>
        <v>0</v>
      </c>
      <c r="J74" s="229">
        <f>88697.25</f>
        <v>88697.25</v>
      </c>
      <c r="K74" s="257"/>
      <c r="L74" s="186">
        <f t="shared" si="17"/>
        <v>88697.25</v>
      </c>
      <c r="M74" s="156"/>
      <c r="N74" s="257"/>
      <c r="O74" s="186">
        <f t="shared" si="18"/>
        <v>88697.25</v>
      </c>
      <c r="P74" s="239"/>
      <c r="Q74" s="256">
        <f t="shared" si="1"/>
        <v>88697.25</v>
      </c>
    </row>
    <row r="75" spans="1:17" ht="12.75">
      <c r="A75" s="13" t="s">
        <v>32</v>
      </c>
      <c r="B75" s="55" t="s">
        <v>326</v>
      </c>
      <c r="C75" s="100"/>
      <c r="D75" s="75">
        <f>8669.63+4191.02+4793.63</f>
        <v>17654.28</v>
      </c>
      <c r="E75" s="75"/>
      <c r="F75" s="144">
        <f t="shared" si="15"/>
        <v>17654.28</v>
      </c>
      <c r="G75" s="146">
        <f>8840.07+9717.39+24659.78+73.46+3261.36+25939.02+10215.02+758.5+10206.48+17757.1+2704.73+6043.61+6814.18+9780.33</f>
        <v>136771.02999999997</v>
      </c>
      <c r="H75" s="173"/>
      <c r="I75" s="186">
        <f t="shared" si="16"/>
        <v>154425.30999999997</v>
      </c>
      <c r="J75" s="229">
        <f>2725.6+10494.85+15861.3+14195.2+8973.27+1140.62+3795.74+5859.35+45757+9085.55+15647.69+18156.81+960.06+13113.52+37067.78+1379.76+3056.1+7254.94+19066.48+224.72+13889.92</f>
        <v>247706.26</v>
      </c>
      <c r="K75" s="257"/>
      <c r="L75" s="186">
        <f t="shared" si="17"/>
        <v>402131.56999999995</v>
      </c>
      <c r="M75" s="156">
        <f>25114.89+1630.37+5321.32+508.94+10843.77+7333.99+8249.49+20526.15+22446.17+37253.05+14616.39+12009.51+10350.89+27085.32+37295.9+27833.84+29996.73</f>
        <v>298416.72</v>
      </c>
      <c r="N75" s="257"/>
      <c r="O75" s="186">
        <f t="shared" si="18"/>
        <v>700548.2899999999</v>
      </c>
      <c r="P75" s="239"/>
      <c r="Q75" s="256">
        <f t="shared" si="1"/>
        <v>700548.2899999999</v>
      </c>
    </row>
    <row r="76" spans="1:17" ht="12.75">
      <c r="A76" s="13" t="s">
        <v>33</v>
      </c>
      <c r="B76" s="55" t="s">
        <v>357</v>
      </c>
      <c r="C76" s="100"/>
      <c r="D76" s="75"/>
      <c r="E76" s="75"/>
      <c r="F76" s="144">
        <f t="shared" si="15"/>
        <v>0</v>
      </c>
      <c r="G76" s="146">
        <f>515</f>
        <v>515</v>
      </c>
      <c r="H76" s="173"/>
      <c r="I76" s="186">
        <f t="shared" si="16"/>
        <v>515</v>
      </c>
      <c r="J76" s="229">
        <f>171+170</f>
        <v>341</v>
      </c>
      <c r="K76" s="257"/>
      <c r="L76" s="186">
        <f t="shared" si="17"/>
        <v>856</v>
      </c>
      <c r="M76" s="156"/>
      <c r="N76" s="257"/>
      <c r="O76" s="186">
        <f t="shared" si="18"/>
        <v>856</v>
      </c>
      <c r="P76" s="239"/>
      <c r="Q76" s="256">
        <f t="shared" si="1"/>
        <v>856</v>
      </c>
    </row>
    <row r="77" spans="1:17" ht="12.75">
      <c r="A77" s="13" t="s">
        <v>34</v>
      </c>
      <c r="B77" s="55" t="s">
        <v>336</v>
      </c>
      <c r="C77" s="100"/>
      <c r="D77" s="75"/>
      <c r="E77" s="75"/>
      <c r="F77" s="144">
        <f t="shared" si="15"/>
        <v>0</v>
      </c>
      <c r="G77" s="146"/>
      <c r="H77" s="173"/>
      <c r="I77" s="186">
        <f t="shared" si="16"/>
        <v>0</v>
      </c>
      <c r="J77" s="229"/>
      <c r="K77" s="257"/>
      <c r="L77" s="186">
        <f t="shared" si="17"/>
        <v>0</v>
      </c>
      <c r="M77" s="156">
        <v>2149.57</v>
      </c>
      <c r="N77" s="257"/>
      <c r="O77" s="186">
        <f t="shared" si="18"/>
        <v>2149.57</v>
      </c>
      <c r="P77" s="239"/>
      <c r="Q77" s="256">
        <f t="shared" si="1"/>
        <v>2149.57</v>
      </c>
    </row>
    <row r="78" spans="1:17" ht="12.75">
      <c r="A78" s="13" t="s">
        <v>160</v>
      </c>
      <c r="B78" s="55" t="s">
        <v>329</v>
      </c>
      <c r="C78" s="100"/>
      <c r="D78" s="75">
        <f>30038.24</f>
        <v>30038.24</v>
      </c>
      <c r="E78" s="75"/>
      <c r="F78" s="144">
        <f t="shared" si="15"/>
        <v>30038.24</v>
      </c>
      <c r="G78" s="146">
        <f>99736.84</f>
        <v>99736.84</v>
      </c>
      <c r="H78" s="173"/>
      <c r="I78" s="186">
        <f t="shared" si="16"/>
        <v>129775.08</v>
      </c>
      <c r="J78" s="229">
        <v>3390.33</v>
      </c>
      <c r="K78" s="257"/>
      <c r="L78" s="186">
        <f t="shared" si="17"/>
        <v>133165.41</v>
      </c>
      <c r="M78" s="156"/>
      <c r="N78" s="257"/>
      <c r="O78" s="186">
        <f t="shared" si="18"/>
        <v>133165.41</v>
      </c>
      <c r="P78" s="239"/>
      <c r="Q78" s="256">
        <f t="shared" si="1"/>
        <v>133165.41</v>
      </c>
    </row>
    <row r="79" spans="1:17" ht="12.75" hidden="1">
      <c r="A79" s="13" t="s">
        <v>161</v>
      </c>
      <c r="B79" s="55" t="s">
        <v>334</v>
      </c>
      <c r="C79" s="100"/>
      <c r="D79" s="75"/>
      <c r="E79" s="75"/>
      <c r="F79" s="144">
        <f t="shared" si="15"/>
        <v>0</v>
      </c>
      <c r="G79" s="146"/>
      <c r="H79" s="173"/>
      <c r="I79" s="186">
        <f t="shared" si="16"/>
        <v>0</v>
      </c>
      <c r="J79" s="229"/>
      <c r="K79" s="257"/>
      <c r="L79" s="186">
        <f t="shared" si="17"/>
        <v>0</v>
      </c>
      <c r="M79" s="156"/>
      <c r="N79" s="257"/>
      <c r="O79" s="186">
        <f t="shared" si="18"/>
        <v>0</v>
      </c>
      <c r="P79" s="239"/>
      <c r="Q79" s="256">
        <f t="shared" si="1"/>
        <v>0</v>
      </c>
    </row>
    <row r="80" spans="1:17" ht="12.75">
      <c r="A80" s="13" t="s">
        <v>47</v>
      </c>
      <c r="B80" s="55" t="s">
        <v>330</v>
      </c>
      <c r="C80" s="100"/>
      <c r="D80" s="75">
        <f>153987</f>
        <v>153987</v>
      </c>
      <c r="E80" s="75"/>
      <c r="F80" s="144">
        <f t="shared" si="15"/>
        <v>153987</v>
      </c>
      <c r="G80" s="146">
        <f>114711</f>
        <v>114711</v>
      </c>
      <c r="H80" s="173"/>
      <c r="I80" s="186">
        <f t="shared" si="16"/>
        <v>268698</v>
      </c>
      <c r="J80" s="229"/>
      <c r="K80" s="257"/>
      <c r="L80" s="186">
        <f t="shared" si="17"/>
        <v>268698</v>
      </c>
      <c r="M80" s="156"/>
      <c r="N80" s="257"/>
      <c r="O80" s="186">
        <f t="shared" si="18"/>
        <v>268698</v>
      </c>
      <c r="P80" s="239"/>
      <c r="Q80" s="256">
        <f t="shared" si="1"/>
        <v>268698</v>
      </c>
    </row>
    <row r="81" spans="1:17" ht="12.75">
      <c r="A81" s="13" t="s">
        <v>48</v>
      </c>
      <c r="B81" s="55" t="s">
        <v>391</v>
      </c>
      <c r="C81" s="100"/>
      <c r="D81" s="75"/>
      <c r="E81" s="75"/>
      <c r="F81" s="144">
        <f t="shared" si="15"/>
        <v>0</v>
      </c>
      <c r="G81" s="146"/>
      <c r="H81" s="173"/>
      <c r="I81" s="186">
        <f t="shared" si="16"/>
        <v>0</v>
      </c>
      <c r="J81" s="229">
        <f>664.15</f>
        <v>664.15</v>
      </c>
      <c r="K81" s="257"/>
      <c r="L81" s="186">
        <f t="shared" si="17"/>
        <v>664.15</v>
      </c>
      <c r="M81" s="156"/>
      <c r="N81" s="257"/>
      <c r="O81" s="186">
        <f t="shared" si="18"/>
        <v>664.15</v>
      </c>
      <c r="P81" s="239"/>
      <c r="Q81" s="256">
        <f>O81+P81</f>
        <v>664.15</v>
      </c>
    </row>
    <row r="82" spans="1:17" ht="12.75" hidden="1">
      <c r="A82" s="13" t="s">
        <v>49</v>
      </c>
      <c r="B82" s="55" t="s">
        <v>337</v>
      </c>
      <c r="C82" s="100"/>
      <c r="D82" s="75"/>
      <c r="E82" s="75"/>
      <c r="F82" s="144">
        <f t="shared" si="15"/>
        <v>0</v>
      </c>
      <c r="G82" s="146"/>
      <c r="H82" s="173"/>
      <c r="I82" s="186">
        <f t="shared" si="16"/>
        <v>0</v>
      </c>
      <c r="J82" s="229"/>
      <c r="K82" s="257"/>
      <c r="L82" s="186">
        <f t="shared" si="17"/>
        <v>0</v>
      </c>
      <c r="M82" s="156"/>
      <c r="N82" s="257"/>
      <c r="O82" s="186">
        <f t="shared" si="18"/>
        <v>0</v>
      </c>
      <c r="P82" s="239"/>
      <c r="Q82" s="256">
        <f>O82+P82</f>
        <v>0</v>
      </c>
    </row>
    <row r="83" spans="1:17" ht="12.75">
      <c r="A83" s="13" t="s">
        <v>36</v>
      </c>
      <c r="B83" s="55" t="s">
        <v>332</v>
      </c>
      <c r="C83" s="100"/>
      <c r="D83" s="75"/>
      <c r="E83" s="75"/>
      <c r="F83" s="144">
        <f t="shared" si="15"/>
        <v>0</v>
      </c>
      <c r="G83" s="146">
        <f>54131.94</f>
        <v>54131.94</v>
      </c>
      <c r="H83" s="173"/>
      <c r="I83" s="186">
        <f t="shared" si="16"/>
        <v>54131.94</v>
      </c>
      <c r="J83" s="229"/>
      <c r="K83" s="257"/>
      <c r="L83" s="186">
        <f t="shared" si="17"/>
        <v>54131.94</v>
      </c>
      <c r="M83" s="156"/>
      <c r="N83" s="257"/>
      <c r="O83" s="186">
        <f t="shared" si="18"/>
        <v>54131.94</v>
      </c>
      <c r="P83" s="259"/>
      <c r="Q83" s="256">
        <f>O83+P83</f>
        <v>54131.94</v>
      </c>
    </row>
    <row r="84" spans="1:17" ht="12.75">
      <c r="A84" s="13" t="s">
        <v>40</v>
      </c>
      <c r="B84" s="55" t="s">
        <v>343</v>
      </c>
      <c r="C84" s="100"/>
      <c r="D84" s="75">
        <f>20624.21</f>
        <v>20624.21</v>
      </c>
      <c r="E84" s="75"/>
      <c r="F84" s="144">
        <f t="shared" si="15"/>
        <v>20624.21</v>
      </c>
      <c r="G84" s="146">
        <f>1248.75</f>
        <v>1248.75</v>
      </c>
      <c r="H84" s="173"/>
      <c r="I84" s="186">
        <f t="shared" si="16"/>
        <v>21872.96</v>
      </c>
      <c r="J84" s="229"/>
      <c r="K84" s="257"/>
      <c r="L84" s="186">
        <f t="shared" si="17"/>
        <v>21872.96</v>
      </c>
      <c r="M84" s="156">
        <v>8652.06</v>
      </c>
      <c r="N84" s="257"/>
      <c r="O84" s="186">
        <f t="shared" si="18"/>
        <v>30525.019999999997</v>
      </c>
      <c r="P84" s="259"/>
      <c r="Q84" s="256">
        <f>O84+P84</f>
        <v>30525.019999999997</v>
      </c>
    </row>
    <row r="85" spans="1:17" ht="12.75" hidden="1">
      <c r="A85" s="13" t="s">
        <v>165</v>
      </c>
      <c r="B85" s="55"/>
      <c r="C85" s="100"/>
      <c r="D85" s="75"/>
      <c r="E85" s="75"/>
      <c r="F85" s="144">
        <f t="shared" si="15"/>
        <v>0</v>
      </c>
      <c r="G85" s="146"/>
      <c r="H85" s="173"/>
      <c r="I85" s="186">
        <f t="shared" si="16"/>
        <v>0</v>
      </c>
      <c r="J85" s="229"/>
      <c r="K85" s="257"/>
      <c r="L85" s="186">
        <f t="shared" si="17"/>
        <v>0</v>
      </c>
      <c r="M85" s="156"/>
      <c r="N85" s="257"/>
      <c r="O85" s="186">
        <f t="shared" si="18"/>
        <v>0</v>
      </c>
      <c r="P85" s="239"/>
      <c r="Q85" s="256">
        <f aca="true" t="shared" si="19" ref="Q85:Q141">O85+P85</f>
        <v>0</v>
      </c>
    </row>
    <row r="86" spans="1:17" ht="15" customHeight="1" hidden="1">
      <c r="A86" s="14" t="s">
        <v>50</v>
      </c>
      <c r="B86" s="56"/>
      <c r="C86" s="96">
        <f>SUM(C88:C90)</f>
        <v>0</v>
      </c>
      <c r="D86" s="76">
        <f>SUM(D88:D90)</f>
        <v>0</v>
      </c>
      <c r="E86" s="76">
        <f>SUM(E88:E90)</f>
        <v>0</v>
      </c>
      <c r="F86" s="139">
        <f>SUM(F88:F90)</f>
        <v>0</v>
      </c>
      <c r="G86" s="148"/>
      <c r="H86" s="155"/>
      <c r="I86" s="187">
        <f>SUM(I88:I90)</f>
        <v>0</v>
      </c>
      <c r="J86" s="240"/>
      <c r="K86" s="260"/>
      <c r="L86" s="187">
        <f>SUM(L88:L90)</f>
        <v>0</v>
      </c>
      <c r="M86" s="296"/>
      <c r="N86" s="260"/>
      <c r="O86" s="187">
        <f>SUM(O88:O90)</f>
        <v>0</v>
      </c>
      <c r="P86" s="240"/>
      <c r="Q86" s="222">
        <f>SUM(Q88:Q90)</f>
        <v>0</v>
      </c>
    </row>
    <row r="87" spans="1:17" ht="12.75" hidden="1">
      <c r="A87" s="11" t="s">
        <v>27</v>
      </c>
      <c r="B87" s="53"/>
      <c r="C87" s="100"/>
      <c r="D87" s="75"/>
      <c r="E87" s="75"/>
      <c r="F87" s="144"/>
      <c r="G87" s="146"/>
      <c r="H87" s="173"/>
      <c r="I87" s="186"/>
      <c r="J87" s="229"/>
      <c r="K87" s="257"/>
      <c r="L87" s="186"/>
      <c r="M87" s="156"/>
      <c r="N87" s="257"/>
      <c r="O87" s="186"/>
      <c r="P87" s="239"/>
      <c r="Q87" s="256"/>
    </row>
    <row r="88" spans="1:17" ht="12.75" hidden="1">
      <c r="A88" s="13" t="s">
        <v>51</v>
      </c>
      <c r="B88" s="55"/>
      <c r="C88" s="100"/>
      <c r="D88" s="75"/>
      <c r="E88" s="75"/>
      <c r="F88" s="144">
        <f>C88+D88+E88</f>
        <v>0</v>
      </c>
      <c r="G88" s="146"/>
      <c r="H88" s="173"/>
      <c r="I88" s="186">
        <f>F88+G88+H88</f>
        <v>0</v>
      </c>
      <c r="J88" s="229"/>
      <c r="K88" s="257"/>
      <c r="L88" s="186">
        <f>I88+J88+K88</f>
        <v>0</v>
      </c>
      <c r="M88" s="156"/>
      <c r="N88" s="257"/>
      <c r="O88" s="186">
        <f>L88+M88+N88</f>
        <v>0</v>
      </c>
      <c r="P88" s="239"/>
      <c r="Q88" s="256">
        <f t="shared" si="19"/>
        <v>0</v>
      </c>
    </row>
    <row r="89" spans="1:17" ht="12.75" hidden="1">
      <c r="A89" s="13" t="s">
        <v>25</v>
      </c>
      <c r="B89" s="55"/>
      <c r="C89" s="100"/>
      <c r="D89" s="75"/>
      <c r="E89" s="75"/>
      <c r="F89" s="144">
        <f>C89+D89+E89</f>
        <v>0</v>
      </c>
      <c r="G89" s="146"/>
      <c r="H89" s="173"/>
      <c r="I89" s="186">
        <f>F89+G89+H89</f>
        <v>0</v>
      </c>
      <c r="J89" s="229"/>
      <c r="K89" s="257"/>
      <c r="L89" s="186">
        <f>I89+J89+K89</f>
        <v>0</v>
      </c>
      <c r="M89" s="156"/>
      <c r="N89" s="257"/>
      <c r="O89" s="186">
        <f>L89+M89+N89</f>
        <v>0</v>
      </c>
      <c r="P89" s="239"/>
      <c r="Q89" s="256">
        <f t="shared" si="19"/>
        <v>0</v>
      </c>
    </row>
    <row r="90" spans="1:17" ht="12.75" hidden="1">
      <c r="A90" s="13" t="s">
        <v>43</v>
      </c>
      <c r="B90" s="55"/>
      <c r="C90" s="100"/>
      <c r="D90" s="75"/>
      <c r="E90" s="75"/>
      <c r="F90" s="144">
        <f>C90+D90+E90</f>
        <v>0</v>
      </c>
      <c r="G90" s="146"/>
      <c r="H90" s="173"/>
      <c r="I90" s="186">
        <f>F90+G90+H90</f>
        <v>0</v>
      </c>
      <c r="J90" s="229"/>
      <c r="K90" s="257"/>
      <c r="L90" s="186">
        <f>I90+J90+K90</f>
        <v>0</v>
      </c>
      <c r="M90" s="156"/>
      <c r="N90" s="257"/>
      <c r="O90" s="186">
        <f>L90+M90+N90</f>
        <v>0</v>
      </c>
      <c r="P90" s="239"/>
      <c r="Q90" s="256">
        <f t="shared" si="19"/>
        <v>0</v>
      </c>
    </row>
    <row r="91" spans="1:17" ht="16.5" thickBot="1">
      <c r="A91" s="18" t="s">
        <v>52</v>
      </c>
      <c r="B91" s="59"/>
      <c r="C91" s="116">
        <f aca="true" t="shared" si="20" ref="C91:Q91">C11+C16+C40+C69+C32+C86</f>
        <v>4503004.28</v>
      </c>
      <c r="D91" s="77">
        <f t="shared" si="20"/>
        <v>8506125.73</v>
      </c>
      <c r="E91" s="77">
        <f t="shared" si="20"/>
        <v>49680.65</v>
      </c>
      <c r="F91" s="205">
        <f t="shared" si="20"/>
        <v>13058810.660000002</v>
      </c>
      <c r="G91" s="149">
        <f t="shared" si="20"/>
        <v>876220.3699999999</v>
      </c>
      <c r="H91" s="175">
        <f t="shared" si="20"/>
        <v>25919.780000000002</v>
      </c>
      <c r="I91" s="188">
        <f t="shared" si="20"/>
        <v>13960950.81</v>
      </c>
      <c r="J91" s="242">
        <f t="shared" si="20"/>
        <v>762704.1699999999</v>
      </c>
      <c r="K91" s="279">
        <f t="shared" si="20"/>
        <v>22872.77</v>
      </c>
      <c r="L91" s="188">
        <f t="shared" si="20"/>
        <v>14746527.75</v>
      </c>
      <c r="M91" s="297">
        <f t="shared" si="20"/>
        <v>670639.46</v>
      </c>
      <c r="N91" s="279">
        <f t="shared" si="20"/>
        <v>32960</v>
      </c>
      <c r="O91" s="188">
        <f t="shared" si="20"/>
        <v>15450127.21</v>
      </c>
      <c r="P91" s="242">
        <f t="shared" si="20"/>
        <v>0</v>
      </c>
      <c r="Q91" s="223">
        <f t="shared" si="20"/>
        <v>15450127.21</v>
      </c>
    </row>
    <row r="92" spans="1:17" ht="12.75">
      <c r="A92" s="10" t="s">
        <v>53</v>
      </c>
      <c r="B92" s="52"/>
      <c r="C92" s="105"/>
      <c r="D92" s="75"/>
      <c r="E92" s="75"/>
      <c r="F92" s="144"/>
      <c r="G92" s="146"/>
      <c r="H92" s="173"/>
      <c r="I92" s="186"/>
      <c r="J92" s="229"/>
      <c r="K92" s="257"/>
      <c r="L92" s="186"/>
      <c r="M92" s="156"/>
      <c r="N92" s="257"/>
      <c r="O92" s="186"/>
      <c r="P92" s="239"/>
      <c r="Q92" s="256"/>
    </row>
    <row r="93" spans="1:17" ht="12.75">
      <c r="A93" s="10" t="s">
        <v>69</v>
      </c>
      <c r="B93" s="64"/>
      <c r="C93" s="105">
        <f>C94+C103</f>
        <v>101345</v>
      </c>
      <c r="D93" s="74">
        <f aca="true" t="shared" si="21" ref="D93:Q93">D94+D103</f>
        <v>98378.36</v>
      </c>
      <c r="E93" s="74">
        <f t="shared" si="21"/>
        <v>0</v>
      </c>
      <c r="F93" s="204">
        <f t="shared" si="21"/>
        <v>199723.36</v>
      </c>
      <c r="G93" s="145">
        <f t="shared" si="21"/>
        <v>33591.46</v>
      </c>
      <c r="H93" s="172">
        <f t="shared" si="21"/>
        <v>0</v>
      </c>
      <c r="I93" s="185">
        <f t="shared" si="21"/>
        <v>233314.82</v>
      </c>
      <c r="J93" s="238">
        <f t="shared" si="21"/>
        <v>1321.1999999999998</v>
      </c>
      <c r="K93" s="255">
        <f t="shared" si="21"/>
        <v>0</v>
      </c>
      <c r="L93" s="185">
        <f t="shared" si="21"/>
        <v>234636.02000000002</v>
      </c>
      <c r="M93" s="254">
        <f t="shared" si="21"/>
        <v>1993.27</v>
      </c>
      <c r="N93" s="255">
        <f t="shared" si="21"/>
        <v>0</v>
      </c>
      <c r="O93" s="185">
        <f t="shared" si="21"/>
        <v>236629.29</v>
      </c>
      <c r="P93" s="238">
        <f t="shared" si="21"/>
        <v>0</v>
      </c>
      <c r="Q93" s="221">
        <f t="shared" si="21"/>
        <v>236629.29</v>
      </c>
    </row>
    <row r="94" spans="1:17" ht="12.75">
      <c r="A94" s="19" t="s">
        <v>55</v>
      </c>
      <c r="B94" s="64"/>
      <c r="C94" s="117">
        <f>SUM(C96:C101)</f>
        <v>69345</v>
      </c>
      <c r="D94" s="78">
        <f aca="true" t="shared" si="22" ref="D94:Q94">SUM(D96:D101)</f>
        <v>2061.56</v>
      </c>
      <c r="E94" s="78">
        <f t="shared" si="22"/>
        <v>0</v>
      </c>
      <c r="F94" s="206">
        <f t="shared" si="22"/>
        <v>71406.56</v>
      </c>
      <c r="G94" s="150">
        <f t="shared" si="22"/>
        <v>17361.56</v>
      </c>
      <c r="H94" s="176">
        <f t="shared" si="22"/>
        <v>0</v>
      </c>
      <c r="I94" s="189">
        <f t="shared" si="22"/>
        <v>88768.12000000001</v>
      </c>
      <c r="J94" s="243">
        <f t="shared" si="22"/>
        <v>5821.2</v>
      </c>
      <c r="K94" s="280">
        <f t="shared" si="22"/>
        <v>0</v>
      </c>
      <c r="L94" s="189">
        <f t="shared" si="22"/>
        <v>94589.32</v>
      </c>
      <c r="M94" s="298">
        <f t="shared" si="22"/>
        <v>1993.27</v>
      </c>
      <c r="N94" s="280">
        <f t="shared" si="22"/>
        <v>0</v>
      </c>
      <c r="O94" s="189">
        <f t="shared" si="22"/>
        <v>96582.59</v>
      </c>
      <c r="P94" s="243">
        <f t="shared" si="22"/>
        <v>0</v>
      </c>
      <c r="Q94" s="224">
        <f t="shared" si="22"/>
        <v>96582.59</v>
      </c>
    </row>
    <row r="95" spans="1:17" ht="12.75">
      <c r="A95" s="15" t="s">
        <v>27</v>
      </c>
      <c r="B95" s="60"/>
      <c r="C95" s="100"/>
      <c r="D95" s="75"/>
      <c r="E95" s="75"/>
      <c r="F95" s="204"/>
      <c r="G95" s="146"/>
      <c r="H95" s="173"/>
      <c r="I95" s="185"/>
      <c r="J95" s="229"/>
      <c r="K95" s="257"/>
      <c r="L95" s="185"/>
      <c r="M95" s="156"/>
      <c r="N95" s="257"/>
      <c r="O95" s="185"/>
      <c r="P95" s="239"/>
      <c r="Q95" s="256"/>
    </row>
    <row r="96" spans="1:17" ht="12.75">
      <c r="A96" s="13" t="s">
        <v>57</v>
      </c>
      <c r="B96" s="60"/>
      <c r="C96" s="100">
        <v>9745</v>
      </c>
      <c r="D96" s="75"/>
      <c r="E96" s="75"/>
      <c r="F96" s="144">
        <f aca="true" t="shared" si="23" ref="F96:F102">C96+D96+E96</f>
        <v>9745</v>
      </c>
      <c r="G96" s="146"/>
      <c r="H96" s="173"/>
      <c r="I96" s="186">
        <f aca="true" t="shared" si="24" ref="I96:I102">F96+G96+H96</f>
        <v>9745</v>
      </c>
      <c r="J96" s="229"/>
      <c r="K96" s="257"/>
      <c r="L96" s="186">
        <f aca="true" t="shared" si="25" ref="L96:L102">I96+J96+K96</f>
        <v>9745</v>
      </c>
      <c r="M96" s="156"/>
      <c r="N96" s="257"/>
      <c r="O96" s="186">
        <f aca="true" t="shared" si="26" ref="O96:O102">L96+M96+N96</f>
        <v>9745</v>
      </c>
      <c r="P96" s="239"/>
      <c r="Q96" s="256">
        <f t="shared" si="19"/>
        <v>9745</v>
      </c>
    </row>
    <row r="97" spans="1:17" ht="12.75" hidden="1">
      <c r="A97" s="13" t="s">
        <v>71</v>
      </c>
      <c r="B97" s="60"/>
      <c r="C97" s="100"/>
      <c r="D97" s="75"/>
      <c r="E97" s="75"/>
      <c r="F97" s="144">
        <f t="shared" si="23"/>
        <v>0</v>
      </c>
      <c r="G97" s="146"/>
      <c r="H97" s="173"/>
      <c r="I97" s="186">
        <f t="shared" si="24"/>
        <v>0</v>
      </c>
      <c r="J97" s="229"/>
      <c r="K97" s="257"/>
      <c r="L97" s="186">
        <f t="shared" si="25"/>
        <v>0</v>
      </c>
      <c r="M97" s="156"/>
      <c r="N97" s="257"/>
      <c r="O97" s="186">
        <f t="shared" si="26"/>
        <v>0</v>
      </c>
      <c r="P97" s="239"/>
      <c r="Q97" s="256">
        <f t="shared" si="19"/>
        <v>0</v>
      </c>
    </row>
    <row r="98" spans="1:17" ht="12.75">
      <c r="A98" s="17" t="s">
        <v>223</v>
      </c>
      <c r="B98" s="60"/>
      <c r="C98" s="100">
        <v>59600</v>
      </c>
      <c r="D98" s="75"/>
      <c r="E98" s="75"/>
      <c r="F98" s="144">
        <f t="shared" si="23"/>
        <v>59600</v>
      </c>
      <c r="G98" s="146"/>
      <c r="H98" s="173"/>
      <c r="I98" s="186">
        <f t="shared" si="24"/>
        <v>59600</v>
      </c>
      <c r="J98" s="229"/>
      <c r="K98" s="257"/>
      <c r="L98" s="186">
        <f t="shared" si="25"/>
        <v>59600</v>
      </c>
      <c r="M98" s="156"/>
      <c r="N98" s="257"/>
      <c r="O98" s="186">
        <f t="shared" si="26"/>
        <v>59600</v>
      </c>
      <c r="P98" s="239"/>
      <c r="Q98" s="256">
        <f t="shared" si="19"/>
        <v>59600</v>
      </c>
    </row>
    <row r="99" spans="1:17" ht="12.75">
      <c r="A99" s="17" t="s">
        <v>72</v>
      </c>
      <c r="B99" s="60">
        <v>98278</v>
      </c>
      <c r="C99" s="100"/>
      <c r="D99" s="75">
        <f>42+8.7+57.92+10.67+35.64</f>
        <v>154.93</v>
      </c>
      <c r="E99" s="75"/>
      <c r="F99" s="144">
        <f t="shared" si="23"/>
        <v>154.93</v>
      </c>
      <c r="G99" s="146">
        <f>324.86+20.46+30+32.99+30+6+15.5+6+49+25.5+6+3.5+40.61+24+13+13+12+35.64+691.97</f>
        <v>1380.03</v>
      </c>
      <c r="H99" s="173"/>
      <c r="I99" s="186">
        <f t="shared" si="24"/>
        <v>1534.96</v>
      </c>
      <c r="J99" s="229">
        <f>167.96+89.53+80.19+27.92+57.91+39+80+13+6+6+6+12+383.56+120+79+20.63+40+35+57.5</f>
        <v>1321.2</v>
      </c>
      <c r="K99" s="257"/>
      <c r="L99" s="186">
        <f t="shared" si="25"/>
        <v>2856.16</v>
      </c>
      <c r="M99" s="156">
        <f>40+16.2+6+145.05+883.98+27.3+320.49+40.61+33+137.08+30+18+95.22+6+50+15+32.64+96.7</f>
        <v>1993.27</v>
      </c>
      <c r="N99" s="257"/>
      <c r="O99" s="186">
        <f t="shared" si="26"/>
        <v>4849.43</v>
      </c>
      <c r="P99" s="239"/>
      <c r="Q99" s="256">
        <f t="shared" si="19"/>
        <v>4849.43</v>
      </c>
    </row>
    <row r="100" spans="1:17" ht="12.75" hidden="1">
      <c r="A100" s="13" t="s">
        <v>86</v>
      </c>
      <c r="B100" s="60"/>
      <c r="C100" s="100"/>
      <c r="D100" s="75"/>
      <c r="E100" s="75"/>
      <c r="F100" s="144">
        <f t="shared" si="23"/>
        <v>0</v>
      </c>
      <c r="G100" s="146"/>
      <c r="H100" s="173"/>
      <c r="I100" s="186">
        <f t="shared" si="24"/>
        <v>0</v>
      </c>
      <c r="J100" s="229"/>
      <c r="K100" s="257"/>
      <c r="L100" s="186">
        <f t="shared" si="25"/>
        <v>0</v>
      </c>
      <c r="M100" s="156"/>
      <c r="N100" s="257"/>
      <c r="O100" s="186">
        <f t="shared" si="26"/>
        <v>0</v>
      </c>
      <c r="P100" s="239"/>
      <c r="Q100" s="256">
        <f t="shared" si="19"/>
        <v>0</v>
      </c>
    </row>
    <row r="101" spans="1:17" ht="12.75">
      <c r="A101" s="12" t="s">
        <v>73</v>
      </c>
      <c r="B101" s="60"/>
      <c r="C101" s="100"/>
      <c r="D101" s="75">
        <f>1906.63</f>
        <v>1906.63</v>
      </c>
      <c r="E101" s="75"/>
      <c r="F101" s="144">
        <f t="shared" si="23"/>
        <v>1906.63</v>
      </c>
      <c r="G101" s="146">
        <f>15981.53</f>
        <v>15981.53</v>
      </c>
      <c r="H101" s="173"/>
      <c r="I101" s="186">
        <f t="shared" si="24"/>
        <v>17888.16</v>
      </c>
      <c r="J101" s="229">
        <f>4500</f>
        <v>4500</v>
      </c>
      <c r="K101" s="257"/>
      <c r="L101" s="186">
        <f t="shared" si="25"/>
        <v>22388.16</v>
      </c>
      <c r="M101" s="156"/>
      <c r="N101" s="257"/>
      <c r="O101" s="186">
        <f t="shared" si="26"/>
        <v>22388.16</v>
      </c>
      <c r="P101" s="239"/>
      <c r="Q101" s="256">
        <f t="shared" si="19"/>
        <v>22388.16</v>
      </c>
    </row>
    <row r="102" spans="1:17" ht="12.75" hidden="1">
      <c r="A102" s="12" t="s">
        <v>74</v>
      </c>
      <c r="B102" s="60"/>
      <c r="C102" s="100"/>
      <c r="D102" s="75"/>
      <c r="E102" s="75"/>
      <c r="F102" s="144">
        <f t="shared" si="23"/>
        <v>0</v>
      </c>
      <c r="G102" s="146"/>
      <c r="H102" s="173"/>
      <c r="I102" s="186">
        <f t="shared" si="24"/>
        <v>0</v>
      </c>
      <c r="J102" s="229"/>
      <c r="K102" s="257"/>
      <c r="L102" s="186">
        <f t="shared" si="25"/>
        <v>0</v>
      </c>
      <c r="M102" s="156"/>
      <c r="N102" s="257"/>
      <c r="O102" s="186">
        <f t="shared" si="26"/>
        <v>0</v>
      </c>
      <c r="P102" s="239"/>
      <c r="Q102" s="256">
        <f t="shared" si="19"/>
        <v>0</v>
      </c>
    </row>
    <row r="103" spans="1:17" ht="12.75">
      <c r="A103" s="20" t="s">
        <v>60</v>
      </c>
      <c r="B103" s="64"/>
      <c r="C103" s="119">
        <f>SUM(C105:C111)</f>
        <v>32000</v>
      </c>
      <c r="D103" s="80">
        <f aca="true" t="shared" si="27" ref="D103:Q103">SUM(D105:D111)</f>
        <v>96316.8</v>
      </c>
      <c r="E103" s="80">
        <f t="shared" si="27"/>
        <v>0</v>
      </c>
      <c r="F103" s="207">
        <f t="shared" si="27"/>
        <v>128316.79999999999</v>
      </c>
      <c r="G103" s="151">
        <f t="shared" si="27"/>
        <v>16229.9</v>
      </c>
      <c r="H103" s="177">
        <f t="shared" si="27"/>
        <v>0</v>
      </c>
      <c r="I103" s="190">
        <f t="shared" si="27"/>
        <v>144546.7</v>
      </c>
      <c r="J103" s="244">
        <f t="shared" si="27"/>
        <v>-4500</v>
      </c>
      <c r="K103" s="281">
        <f t="shared" si="27"/>
        <v>0</v>
      </c>
      <c r="L103" s="190">
        <f t="shared" si="27"/>
        <v>140046.7</v>
      </c>
      <c r="M103" s="299">
        <f t="shared" si="27"/>
        <v>0</v>
      </c>
      <c r="N103" s="281">
        <f t="shared" si="27"/>
        <v>0</v>
      </c>
      <c r="O103" s="190">
        <f t="shared" si="27"/>
        <v>140046.7</v>
      </c>
      <c r="P103" s="244">
        <f t="shared" si="27"/>
        <v>0</v>
      </c>
      <c r="Q103" s="225">
        <f t="shared" si="27"/>
        <v>140046.7</v>
      </c>
    </row>
    <row r="104" spans="1:17" ht="12.75">
      <c r="A104" s="11" t="s">
        <v>27</v>
      </c>
      <c r="B104" s="60"/>
      <c r="C104" s="96"/>
      <c r="D104" s="76"/>
      <c r="E104" s="76"/>
      <c r="F104" s="139"/>
      <c r="G104" s="148"/>
      <c r="H104" s="155"/>
      <c r="I104" s="187"/>
      <c r="J104" s="240"/>
      <c r="K104" s="260"/>
      <c r="L104" s="187"/>
      <c r="M104" s="296"/>
      <c r="N104" s="260"/>
      <c r="O104" s="187"/>
      <c r="P104" s="239"/>
      <c r="Q104" s="256"/>
    </row>
    <row r="105" spans="1:17" ht="12.75">
      <c r="A105" s="12" t="s">
        <v>75</v>
      </c>
      <c r="B105" s="60"/>
      <c r="C105" s="100"/>
      <c r="D105" s="75">
        <f>20331.46+15000</f>
        <v>35331.46</v>
      </c>
      <c r="E105" s="75"/>
      <c r="F105" s="144">
        <f aca="true" t="shared" si="28" ref="F105:F112">C105+D105+E105</f>
        <v>35331.46</v>
      </c>
      <c r="G105" s="146">
        <f>-3000+4229.9+15000</f>
        <v>16229.9</v>
      </c>
      <c r="H105" s="173"/>
      <c r="I105" s="186">
        <f aca="true" t="shared" si="29" ref="I105:I112">F105+G105+H105</f>
        <v>51561.36</v>
      </c>
      <c r="J105" s="229"/>
      <c r="K105" s="257"/>
      <c r="L105" s="186">
        <f aca="true" t="shared" si="30" ref="L105:L112">I105+J105+K105</f>
        <v>51561.36</v>
      </c>
      <c r="M105" s="156"/>
      <c r="N105" s="257"/>
      <c r="O105" s="186">
        <f aca="true" t="shared" si="31" ref="O105:O112">L105+M105+N105</f>
        <v>51561.36</v>
      </c>
      <c r="P105" s="239"/>
      <c r="Q105" s="256">
        <f t="shared" si="19"/>
        <v>51561.36</v>
      </c>
    </row>
    <row r="106" spans="1:17" ht="12.75">
      <c r="A106" s="17" t="s">
        <v>263</v>
      </c>
      <c r="B106" s="60"/>
      <c r="C106" s="100"/>
      <c r="D106" s="75">
        <f>18780</f>
        <v>18780</v>
      </c>
      <c r="E106" s="75"/>
      <c r="F106" s="144">
        <f t="shared" si="28"/>
        <v>18780</v>
      </c>
      <c r="G106" s="146"/>
      <c r="H106" s="173"/>
      <c r="I106" s="186">
        <f t="shared" si="29"/>
        <v>18780</v>
      </c>
      <c r="J106" s="229"/>
      <c r="K106" s="257"/>
      <c r="L106" s="186">
        <f t="shared" si="30"/>
        <v>18780</v>
      </c>
      <c r="M106" s="156"/>
      <c r="N106" s="257"/>
      <c r="O106" s="186">
        <f t="shared" si="31"/>
        <v>18780</v>
      </c>
      <c r="P106" s="239"/>
      <c r="Q106" s="256">
        <f t="shared" si="19"/>
        <v>18780</v>
      </c>
    </row>
    <row r="107" spans="1:17" ht="12.75" hidden="1">
      <c r="A107" s="12" t="s">
        <v>61</v>
      </c>
      <c r="B107" s="60"/>
      <c r="C107" s="100"/>
      <c r="D107" s="75"/>
      <c r="E107" s="75"/>
      <c r="F107" s="144">
        <f t="shared" si="28"/>
        <v>0</v>
      </c>
      <c r="G107" s="146"/>
      <c r="H107" s="173"/>
      <c r="I107" s="186">
        <f t="shared" si="29"/>
        <v>0</v>
      </c>
      <c r="J107" s="229"/>
      <c r="K107" s="257"/>
      <c r="L107" s="186">
        <f t="shared" si="30"/>
        <v>0</v>
      </c>
      <c r="M107" s="156"/>
      <c r="N107" s="257"/>
      <c r="O107" s="186">
        <f t="shared" si="31"/>
        <v>0</v>
      </c>
      <c r="P107" s="239"/>
      <c r="Q107" s="256">
        <f t="shared" si="19"/>
        <v>0</v>
      </c>
    </row>
    <row r="108" spans="1:17" ht="12.75" hidden="1">
      <c r="A108" s="13" t="s">
        <v>221</v>
      </c>
      <c r="B108" s="60"/>
      <c r="C108" s="100"/>
      <c r="D108" s="75"/>
      <c r="E108" s="75"/>
      <c r="F108" s="144">
        <f t="shared" si="28"/>
        <v>0</v>
      </c>
      <c r="G108" s="146"/>
      <c r="H108" s="173"/>
      <c r="I108" s="186">
        <f t="shared" si="29"/>
        <v>0</v>
      </c>
      <c r="J108" s="229"/>
      <c r="K108" s="257"/>
      <c r="L108" s="186">
        <f t="shared" si="30"/>
        <v>0</v>
      </c>
      <c r="M108" s="156"/>
      <c r="N108" s="257"/>
      <c r="O108" s="186">
        <f t="shared" si="31"/>
        <v>0</v>
      </c>
      <c r="P108" s="239"/>
      <c r="Q108" s="256">
        <f t="shared" si="19"/>
        <v>0</v>
      </c>
    </row>
    <row r="109" spans="1:17" ht="12.75">
      <c r="A109" s="13" t="s">
        <v>86</v>
      </c>
      <c r="B109" s="60" t="s">
        <v>338</v>
      </c>
      <c r="C109" s="100"/>
      <c r="D109" s="75">
        <f>11305</f>
        <v>11305</v>
      </c>
      <c r="E109" s="75"/>
      <c r="F109" s="144">
        <f t="shared" si="28"/>
        <v>11305</v>
      </c>
      <c r="G109" s="146"/>
      <c r="H109" s="173"/>
      <c r="I109" s="186">
        <f t="shared" si="29"/>
        <v>11305</v>
      </c>
      <c r="J109" s="229"/>
      <c r="K109" s="257"/>
      <c r="L109" s="186">
        <f t="shared" si="30"/>
        <v>11305</v>
      </c>
      <c r="M109" s="156"/>
      <c r="N109" s="257"/>
      <c r="O109" s="186">
        <f t="shared" si="31"/>
        <v>11305</v>
      </c>
      <c r="P109" s="239"/>
      <c r="Q109" s="256">
        <f t="shared" si="19"/>
        <v>11305</v>
      </c>
    </row>
    <row r="110" spans="1:17" ht="12.75">
      <c r="A110" s="13" t="s">
        <v>269</v>
      </c>
      <c r="B110" s="60">
        <v>1011</v>
      </c>
      <c r="C110" s="100">
        <v>2000</v>
      </c>
      <c r="D110" s="75"/>
      <c r="E110" s="75"/>
      <c r="F110" s="144">
        <f t="shared" si="28"/>
        <v>2000</v>
      </c>
      <c r="G110" s="146"/>
      <c r="H110" s="173"/>
      <c r="I110" s="186">
        <f t="shared" si="29"/>
        <v>2000</v>
      </c>
      <c r="J110" s="229"/>
      <c r="K110" s="257"/>
      <c r="L110" s="186">
        <f t="shared" si="30"/>
        <v>2000</v>
      </c>
      <c r="M110" s="156"/>
      <c r="N110" s="257"/>
      <c r="O110" s="186">
        <f t="shared" si="31"/>
        <v>2000</v>
      </c>
      <c r="P110" s="239"/>
      <c r="Q110" s="256">
        <f t="shared" si="19"/>
        <v>2000</v>
      </c>
    </row>
    <row r="111" spans="1:17" ht="12.75">
      <c r="A111" s="21" t="s">
        <v>73</v>
      </c>
      <c r="B111" s="214" t="s">
        <v>339</v>
      </c>
      <c r="C111" s="118">
        <v>30000</v>
      </c>
      <c r="D111" s="79">
        <f>30900.34</f>
        <v>30900.34</v>
      </c>
      <c r="E111" s="79"/>
      <c r="F111" s="97">
        <f t="shared" si="28"/>
        <v>60900.34</v>
      </c>
      <c r="G111" s="152"/>
      <c r="H111" s="178"/>
      <c r="I111" s="191">
        <f t="shared" si="29"/>
        <v>60900.34</v>
      </c>
      <c r="J111" s="245">
        <f>-4500</f>
        <v>-4500</v>
      </c>
      <c r="K111" s="261"/>
      <c r="L111" s="191">
        <f t="shared" si="30"/>
        <v>56400.34</v>
      </c>
      <c r="M111" s="152"/>
      <c r="N111" s="261"/>
      <c r="O111" s="191">
        <f t="shared" si="31"/>
        <v>56400.34</v>
      </c>
      <c r="P111" s="262"/>
      <c r="Q111" s="263">
        <f t="shared" si="19"/>
        <v>56400.34</v>
      </c>
    </row>
    <row r="112" spans="1:17" ht="12.75" hidden="1">
      <c r="A112" s="21" t="s">
        <v>76</v>
      </c>
      <c r="B112" s="63"/>
      <c r="C112" s="118"/>
      <c r="D112" s="79"/>
      <c r="E112" s="79"/>
      <c r="F112" s="97">
        <f t="shared" si="28"/>
        <v>0</v>
      </c>
      <c r="G112" s="152"/>
      <c r="H112" s="178"/>
      <c r="I112" s="191">
        <f t="shared" si="29"/>
        <v>0</v>
      </c>
      <c r="J112" s="245"/>
      <c r="K112" s="261"/>
      <c r="L112" s="191">
        <f t="shared" si="30"/>
        <v>0</v>
      </c>
      <c r="M112" s="300"/>
      <c r="N112" s="261"/>
      <c r="O112" s="191">
        <f t="shared" si="31"/>
        <v>0</v>
      </c>
      <c r="P112" s="262"/>
      <c r="Q112" s="263">
        <f t="shared" si="19"/>
        <v>0</v>
      </c>
    </row>
    <row r="113" spans="1:17" ht="12.75">
      <c r="A113" s="14" t="s">
        <v>77</v>
      </c>
      <c r="B113" s="64"/>
      <c r="C113" s="96">
        <f>C114+C121</f>
        <v>11546.38</v>
      </c>
      <c r="D113" s="76">
        <f aca="true" t="shared" si="32" ref="D113:Q113">D114+D121</f>
        <v>7947</v>
      </c>
      <c r="E113" s="76">
        <f t="shared" si="32"/>
        <v>0</v>
      </c>
      <c r="F113" s="139">
        <f t="shared" si="32"/>
        <v>19493.38</v>
      </c>
      <c r="G113" s="148">
        <f t="shared" si="32"/>
        <v>0</v>
      </c>
      <c r="H113" s="155">
        <f t="shared" si="32"/>
        <v>0</v>
      </c>
      <c r="I113" s="187">
        <f t="shared" si="32"/>
        <v>19493.38</v>
      </c>
      <c r="J113" s="240">
        <f t="shared" si="32"/>
        <v>0</v>
      </c>
      <c r="K113" s="260">
        <f t="shared" si="32"/>
        <v>0</v>
      </c>
      <c r="L113" s="187">
        <f t="shared" si="32"/>
        <v>19493.38</v>
      </c>
      <c r="M113" s="296">
        <f t="shared" si="32"/>
        <v>0</v>
      </c>
      <c r="N113" s="260">
        <f t="shared" si="32"/>
        <v>0</v>
      </c>
      <c r="O113" s="187">
        <f t="shared" si="32"/>
        <v>19493.38</v>
      </c>
      <c r="P113" s="240">
        <f t="shared" si="32"/>
        <v>0</v>
      </c>
      <c r="Q113" s="222">
        <f t="shared" si="32"/>
        <v>19493.38</v>
      </c>
    </row>
    <row r="114" spans="1:17" ht="12.75">
      <c r="A114" s="19" t="s">
        <v>55</v>
      </c>
      <c r="B114" s="64"/>
      <c r="C114" s="117">
        <f>SUM(C116:C120)</f>
        <v>11546.38</v>
      </c>
      <c r="D114" s="78">
        <f aca="true" t="shared" si="33" ref="D114:Q114">SUM(D116:D120)</f>
        <v>7947</v>
      </c>
      <c r="E114" s="78">
        <f t="shared" si="33"/>
        <v>0</v>
      </c>
      <c r="F114" s="206">
        <f t="shared" si="33"/>
        <v>19493.38</v>
      </c>
      <c r="G114" s="150">
        <f t="shared" si="33"/>
        <v>0</v>
      </c>
      <c r="H114" s="176">
        <f t="shared" si="33"/>
        <v>0</v>
      </c>
      <c r="I114" s="189">
        <f t="shared" si="33"/>
        <v>19493.38</v>
      </c>
      <c r="J114" s="243">
        <f t="shared" si="33"/>
        <v>0</v>
      </c>
      <c r="K114" s="280">
        <f t="shared" si="33"/>
        <v>0</v>
      </c>
      <c r="L114" s="189">
        <f t="shared" si="33"/>
        <v>19493.38</v>
      </c>
      <c r="M114" s="298">
        <f t="shared" si="33"/>
        <v>0</v>
      </c>
      <c r="N114" s="280">
        <f t="shared" si="33"/>
        <v>0</v>
      </c>
      <c r="O114" s="189">
        <f t="shared" si="33"/>
        <v>19493.38</v>
      </c>
      <c r="P114" s="243">
        <f t="shared" si="33"/>
        <v>0</v>
      </c>
      <c r="Q114" s="224">
        <f t="shared" si="33"/>
        <v>19493.38</v>
      </c>
    </row>
    <row r="115" spans="1:17" ht="12.75">
      <c r="A115" s="15" t="s">
        <v>27</v>
      </c>
      <c r="B115" s="60"/>
      <c r="C115" s="100"/>
      <c r="D115" s="75"/>
      <c r="E115" s="75"/>
      <c r="F115" s="204"/>
      <c r="G115" s="146"/>
      <c r="H115" s="173"/>
      <c r="I115" s="185"/>
      <c r="J115" s="229"/>
      <c r="K115" s="257"/>
      <c r="L115" s="185"/>
      <c r="M115" s="156"/>
      <c r="N115" s="257"/>
      <c r="O115" s="185"/>
      <c r="P115" s="239"/>
      <c r="Q115" s="256"/>
    </row>
    <row r="116" spans="1:17" ht="12.75">
      <c r="A116" s="13" t="s">
        <v>57</v>
      </c>
      <c r="B116" s="60"/>
      <c r="C116" s="100">
        <v>10882.38</v>
      </c>
      <c r="D116" s="75">
        <f>2652.44+1200</f>
        <v>3852.44</v>
      </c>
      <c r="E116" s="75"/>
      <c r="F116" s="144">
        <f>C116+D116+E116</f>
        <v>14734.82</v>
      </c>
      <c r="G116" s="146"/>
      <c r="H116" s="173"/>
      <c r="I116" s="186">
        <f>SUM(F116:H116)</f>
        <v>14734.82</v>
      </c>
      <c r="J116" s="229"/>
      <c r="K116" s="257"/>
      <c r="L116" s="186">
        <f>I116+J116+K116</f>
        <v>14734.82</v>
      </c>
      <c r="M116" s="156"/>
      <c r="N116" s="257"/>
      <c r="O116" s="186">
        <f>L116+M116+N116</f>
        <v>14734.82</v>
      </c>
      <c r="P116" s="239"/>
      <c r="Q116" s="256">
        <f t="shared" si="19"/>
        <v>14734.82</v>
      </c>
    </row>
    <row r="117" spans="1:17" ht="12.75">
      <c r="A117" s="26" t="s">
        <v>87</v>
      </c>
      <c r="B117" s="60">
        <v>2054</v>
      </c>
      <c r="C117" s="100">
        <v>664</v>
      </c>
      <c r="D117" s="75"/>
      <c r="E117" s="75"/>
      <c r="F117" s="144">
        <f>C117+D117+E117</f>
        <v>664</v>
      </c>
      <c r="G117" s="146"/>
      <c r="H117" s="173"/>
      <c r="I117" s="186">
        <f>SUM(F117:H117)</f>
        <v>664</v>
      </c>
      <c r="J117" s="229"/>
      <c r="K117" s="257"/>
      <c r="L117" s="186">
        <f>I117+J117+K117</f>
        <v>664</v>
      </c>
      <c r="M117" s="156"/>
      <c r="N117" s="257"/>
      <c r="O117" s="186">
        <f>L117+M117+N117</f>
        <v>664</v>
      </c>
      <c r="P117" s="239"/>
      <c r="Q117" s="256">
        <f t="shared" si="19"/>
        <v>664</v>
      </c>
    </row>
    <row r="118" spans="1:17" ht="12.75">
      <c r="A118" s="17" t="s">
        <v>78</v>
      </c>
      <c r="B118" s="60">
        <v>33166</v>
      </c>
      <c r="C118" s="100"/>
      <c r="D118" s="75">
        <f>2843</f>
        <v>2843</v>
      </c>
      <c r="E118" s="75"/>
      <c r="F118" s="144">
        <f>C118+D118+E118</f>
        <v>2843</v>
      </c>
      <c r="G118" s="146"/>
      <c r="H118" s="173"/>
      <c r="I118" s="186">
        <f>SUM(F118:H118)</f>
        <v>2843</v>
      </c>
      <c r="J118" s="229"/>
      <c r="K118" s="257"/>
      <c r="L118" s="186">
        <f>I118+J118+K118</f>
        <v>2843</v>
      </c>
      <c r="M118" s="156"/>
      <c r="N118" s="257"/>
      <c r="O118" s="186">
        <f>L118+M118+N118</f>
        <v>2843</v>
      </c>
      <c r="P118" s="239"/>
      <c r="Q118" s="256">
        <f t="shared" si="19"/>
        <v>2843</v>
      </c>
    </row>
    <row r="119" spans="1:17" ht="12.75">
      <c r="A119" s="24" t="s">
        <v>320</v>
      </c>
      <c r="B119" s="63">
        <v>33064</v>
      </c>
      <c r="C119" s="118"/>
      <c r="D119" s="79">
        <f>1251.56</f>
        <v>1251.56</v>
      </c>
      <c r="E119" s="79"/>
      <c r="F119" s="97">
        <f>C119+D119+E119</f>
        <v>1251.56</v>
      </c>
      <c r="G119" s="152"/>
      <c r="H119" s="178"/>
      <c r="I119" s="191">
        <f>SUM(F119:H119)</f>
        <v>1251.56</v>
      </c>
      <c r="J119" s="245"/>
      <c r="K119" s="261"/>
      <c r="L119" s="191">
        <f>I119+J119+K119</f>
        <v>1251.56</v>
      </c>
      <c r="M119" s="152"/>
      <c r="N119" s="261"/>
      <c r="O119" s="191">
        <f>L119+M119+N119</f>
        <v>1251.56</v>
      </c>
      <c r="P119" s="262"/>
      <c r="Q119" s="263">
        <f t="shared" si="19"/>
        <v>1251.56</v>
      </c>
    </row>
    <row r="120" spans="1:17" ht="12.75" hidden="1">
      <c r="A120" s="17" t="s">
        <v>71</v>
      </c>
      <c r="B120" s="60"/>
      <c r="C120" s="100"/>
      <c r="D120" s="75"/>
      <c r="E120" s="75"/>
      <c r="F120" s="144">
        <f>C120+D120+E120</f>
        <v>0</v>
      </c>
      <c r="G120" s="146"/>
      <c r="H120" s="173"/>
      <c r="I120" s="186">
        <f>SUM(F120:H120)</f>
        <v>0</v>
      </c>
      <c r="J120" s="229"/>
      <c r="K120" s="257"/>
      <c r="L120" s="186">
        <f>I120+J120+K120</f>
        <v>0</v>
      </c>
      <c r="M120" s="156"/>
      <c r="N120" s="257"/>
      <c r="O120" s="186">
        <f>L120+M120+N120</f>
        <v>0</v>
      </c>
      <c r="P120" s="239"/>
      <c r="Q120" s="256">
        <f t="shared" si="19"/>
        <v>0</v>
      </c>
    </row>
    <row r="121" spans="1:17" ht="12.75" hidden="1">
      <c r="A121" s="19" t="s">
        <v>60</v>
      </c>
      <c r="B121" s="64"/>
      <c r="C121" s="117">
        <f>C123</f>
        <v>0</v>
      </c>
      <c r="D121" s="78">
        <f aca="true" t="shared" si="34" ref="D121:Q121">D123</f>
        <v>0</v>
      </c>
      <c r="E121" s="78">
        <f t="shared" si="34"/>
        <v>0</v>
      </c>
      <c r="F121" s="206">
        <f t="shared" si="34"/>
        <v>0</v>
      </c>
      <c r="G121" s="150">
        <f t="shared" si="34"/>
        <v>0</v>
      </c>
      <c r="H121" s="176">
        <f t="shared" si="34"/>
        <v>0</v>
      </c>
      <c r="I121" s="189">
        <f t="shared" si="34"/>
        <v>0</v>
      </c>
      <c r="J121" s="243">
        <f t="shared" si="34"/>
        <v>0</v>
      </c>
      <c r="K121" s="280">
        <f t="shared" si="34"/>
        <v>0</v>
      </c>
      <c r="L121" s="189">
        <f t="shared" si="34"/>
        <v>0</v>
      </c>
      <c r="M121" s="298">
        <f t="shared" si="34"/>
        <v>0</v>
      </c>
      <c r="N121" s="280">
        <f t="shared" si="34"/>
        <v>0</v>
      </c>
      <c r="O121" s="189">
        <f t="shared" si="34"/>
        <v>0</v>
      </c>
      <c r="P121" s="243">
        <f t="shared" si="34"/>
        <v>0</v>
      </c>
      <c r="Q121" s="224">
        <f t="shared" si="34"/>
        <v>0</v>
      </c>
    </row>
    <row r="122" spans="1:17" ht="12.75" hidden="1">
      <c r="A122" s="15" t="s">
        <v>27</v>
      </c>
      <c r="B122" s="60"/>
      <c r="C122" s="100"/>
      <c r="D122" s="75"/>
      <c r="E122" s="75"/>
      <c r="F122" s="204"/>
      <c r="G122" s="146"/>
      <c r="H122" s="173"/>
      <c r="I122" s="185"/>
      <c r="J122" s="229"/>
      <c r="K122" s="257"/>
      <c r="L122" s="185"/>
      <c r="M122" s="156"/>
      <c r="N122" s="257"/>
      <c r="O122" s="185"/>
      <c r="P122" s="239"/>
      <c r="Q122" s="256"/>
    </row>
    <row r="123" spans="1:17" ht="12.75" hidden="1">
      <c r="A123" s="16" t="s">
        <v>172</v>
      </c>
      <c r="B123" s="63"/>
      <c r="C123" s="118"/>
      <c r="D123" s="79"/>
      <c r="E123" s="79"/>
      <c r="F123" s="97">
        <f>C123+D123+E123</f>
        <v>0</v>
      </c>
      <c r="G123" s="152"/>
      <c r="H123" s="178"/>
      <c r="I123" s="192"/>
      <c r="J123" s="245"/>
      <c r="K123" s="261"/>
      <c r="L123" s="191">
        <f>I123+J123+K123</f>
        <v>0</v>
      </c>
      <c r="M123" s="300"/>
      <c r="N123" s="261"/>
      <c r="O123" s="191">
        <f>L123+M123+N123</f>
        <v>0</v>
      </c>
      <c r="P123" s="262"/>
      <c r="Q123" s="263">
        <f t="shared" si="19"/>
        <v>0</v>
      </c>
    </row>
    <row r="124" spans="1:17" ht="12.75">
      <c r="A124" s="10" t="s">
        <v>79</v>
      </c>
      <c r="B124" s="64"/>
      <c r="C124" s="105">
        <f>C125+C137</f>
        <v>1255518.96</v>
      </c>
      <c r="D124" s="74">
        <f aca="true" t="shared" si="35" ref="D124:Q124">D125+D137</f>
        <v>340155.16</v>
      </c>
      <c r="E124" s="74">
        <f t="shared" si="35"/>
        <v>0</v>
      </c>
      <c r="F124" s="204">
        <f t="shared" si="35"/>
        <v>1595674.12</v>
      </c>
      <c r="G124" s="145">
        <f t="shared" si="35"/>
        <v>73018.7</v>
      </c>
      <c r="H124" s="172">
        <f t="shared" si="35"/>
        <v>0</v>
      </c>
      <c r="I124" s="185">
        <f t="shared" si="35"/>
        <v>1668692.82</v>
      </c>
      <c r="J124" s="238">
        <f t="shared" si="35"/>
        <v>-5690.09</v>
      </c>
      <c r="K124" s="255">
        <f t="shared" si="35"/>
        <v>0</v>
      </c>
      <c r="L124" s="185">
        <f t="shared" si="35"/>
        <v>1663002.73</v>
      </c>
      <c r="M124" s="254">
        <f t="shared" si="35"/>
        <v>27237.37</v>
      </c>
      <c r="N124" s="255">
        <f t="shared" si="35"/>
        <v>0</v>
      </c>
      <c r="O124" s="185">
        <f t="shared" si="35"/>
        <v>1690240.0999999999</v>
      </c>
      <c r="P124" s="238">
        <f t="shared" si="35"/>
        <v>0</v>
      </c>
      <c r="Q124" s="221">
        <f t="shared" si="35"/>
        <v>1690240.0999999999</v>
      </c>
    </row>
    <row r="125" spans="1:17" ht="12.75">
      <c r="A125" s="19" t="s">
        <v>55</v>
      </c>
      <c r="B125" s="64"/>
      <c r="C125" s="117">
        <f>SUM(C128:C136)</f>
        <v>1245518.96</v>
      </c>
      <c r="D125" s="78">
        <f aca="true" t="shared" si="36" ref="D125:Q125">SUM(D128:D136)</f>
        <v>333138.79</v>
      </c>
      <c r="E125" s="78">
        <f t="shared" si="36"/>
        <v>0</v>
      </c>
      <c r="F125" s="206">
        <f t="shared" si="36"/>
        <v>1578657.75</v>
      </c>
      <c r="G125" s="150">
        <f t="shared" si="36"/>
        <v>73018.7</v>
      </c>
      <c r="H125" s="176">
        <f t="shared" si="36"/>
        <v>0</v>
      </c>
      <c r="I125" s="189">
        <f t="shared" si="36"/>
        <v>1651676.45</v>
      </c>
      <c r="J125" s="243">
        <f t="shared" si="36"/>
        <v>11326.279999999999</v>
      </c>
      <c r="K125" s="280">
        <f t="shared" si="36"/>
        <v>0</v>
      </c>
      <c r="L125" s="189">
        <f t="shared" si="36"/>
        <v>1663002.73</v>
      </c>
      <c r="M125" s="298">
        <f t="shared" si="36"/>
        <v>23237.37</v>
      </c>
      <c r="N125" s="280">
        <f t="shared" si="36"/>
        <v>0</v>
      </c>
      <c r="O125" s="189">
        <f t="shared" si="36"/>
        <v>1686240.0999999999</v>
      </c>
      <c r="P125" s="243">
        <f t="shared" si="36"/>
        <v>0</v>
      </c>
      <c r="Q125" s="224">
        <f t="shared" si="36"/>
        <v>1686240.0999999999</v>
      </c>
    </row>
    <row r="126" spans="1:17" ht="12.75">
      <c r="A126" s="15" t="s">
        <v>27</v>
      </c>
      <c r="B126" s="60"/>
      <c r="C126" s="100"/>
      <c r="D126" s="75"/>
      <c r="E126" s="75"/>
      <c r="F126" s="204"/>
      <c r="G126" s="146"/>
      <c r="H126" s="173"/>
      <c r="I126" s="185"/>
      <c r="J126" s="229"/>
      <c r="K126" s="257"/>
      <c r="L126" s="185"/>
      <c r="M126" s="156"/>
      <c r="N126" s="257"/>
      <c r="O126" s="185"/>
      <c r="P126" s="239"/>
      <c r="Q126" s="256"/>
    </row>
    <row r="127" spans="1:17" ht="12.75">
      <c r="A127" s="17" t="s">
        <v>80</v>
      </c>
      <c r="B127" s="60"/>
      <c r="C127" s="100">
        <f>C128+C129</f>
        <v>755573</v>
      </c>
      <c r="D127" s="75">
        <f>D128+D129</f>
        <v>43485.5</v>
      </c>
      <c r="E127" s="75">
        <f>E128+E129</f>
        <v>-1051.37</v>
      </c>
      <c r="F127" s="144">
        <f>F128+F129</f>
        <v>798007.13</v>
      </c>
      <c r="G127" s="146"/>
      <c r="H127" s="173"/>
      <c r="I127" s="186">
        <f>I128+I129</f>
        <v>781725.8300000001</v>
      </c>
      <c r="J127" s="229">
        <f>J128+J129</f>
        <v>2055.45</v>
      </c>
      <c r="K127" s="257">
        <f>K128+K129</f>
        <v>0</v>
      </c>
      <c r="L127" s="186">
        <f>L128+L129</f>
        <v>783781.28</v>
      </c>
      <c r="M127" s="156"/>
      <c r="N127" s="257"/>
      <c r="O127" s="186">
        <f>O128+O129</f>
        <v>786755.3</v>
      </c>
      <c r="P127" s="239"/>
      <c r="Q127" s="256">
        <f t="shared" si="19"/>
        <v>786755.3</v>
      </c>
    </row>
    <row r="128" spans="1:19" ht="12.75">
      <c r="A128" s="17" t="s">
        <v>81</v>
      </c>
      <c r="B128" s="60"/>
      <c r="C128" s="100">
        <v>366000</v>
      </c>
      <c r="D128" s="81">
        <f>39155.23+113.82+4216.45</f>
        <v>43485.5</v>
      </c>
      <c r="E128" s="75">
        <v>-1051.37</v>
      </c>
      <c r="F128" s="144">
        <f aca="true" t="shared" si="37" ref="F128:F136">C128+D128+E128</f>
        <v>408434.13</v>
      </c>
      <c r="G128" s="153">
        <f>205.46+272.64+1173.1+4105-23500-800</f>
        <v>-18543.8</v>
      </c>
      <c r="H128" s="179"/>
      <c r="I128" s="186">
        <f aca="true" t="shared" si="38" ref="I128:I136">F128+G128+H128</f>
        <v>389890.33</v>
      </c>
      <c r="J128" s="229">
        <f>2055.45</f>
        <v>2055.45</v>
      </c>
      <c r="K128" s="257"/>
      <c r="L128" s="186">
        <f aca="true" t="shared" si="39" ref="L128:L136">I128+J128+K128</f>
        <v>391945.78</v>
      </c>
      <c r="M128" s="156">
        <f>91.52</f>
        <v>91.52</v>
      </c>
      <c r="N128" s="257"/>
      <c r="O128" s="186">
        <f aca="true" t="shared" si="40" ref="O128:O136">L128+M128+N128</f>
        <v>392037.30000000005</v>
      </c>
      <c r="P128" s="239"/>
      <c r="Q128" s="256">
        <f t="shared" si="19"/>
        <v>392037.30000000005</v>
      </c>
      <c r="S128" s="142"/>
    </row>
    <row r="129" spans="1:17" ht="12.75">
      <c r="A129" s="13" t="s">
        <v>82</v>
      </c>
      <c r="B129" s="60"/>
      <c r="C129" s="100">
        <v>389573</v>
      </c>
      <c r="D129" s="75"/>
      <c r="E129" s="75"/>
      <c r="F129" s="144">
        <f t="shared" si="37"/>
        <v>389573</v>
      </c>
      <c r="G129" s="153">
        <f>2262.5</f>
        <v>2262.5</v>
      </c>
      <c r="H129" s="179"/>
      <c r="I129" s="186">
        <f t="shared" si="38"/>
        <v>391835.5</v>
      </c>
      <c r="J129" s="229"/>
      <c r="K129" s="257"/>
      <c r="L129" s="186">
        <f t="shared" si="39"/>
        <v>391835.5</v>
      </c>
      <c r="M129" s="156">
        <v>2882.5</v>
      </c>
      <c r="N129" s="257"/>
      <c r="O129" s="186">
        <f t="shared" si="40"/>
        <v>394718</v>
      </c>
      <c r="P129" s="239"/>
      <c r="Q129" s="256">
        <f t="shared" si="19"/>
        <v>394718</v>
      </c>
    </row>
    <row r="130" spans="1:17" ht="12.75">
      <c r="A130" s="17" t="s">
        <v>83</v>
      </c>
      <c r="B130" s="60"/>
      <c r="C130" s="100">
        <v>22445.96</v>
      </c>
      <c r="D130" s="75"/>
      <c r="E130" s="75"/>
      <c r="F130" s="144">
        <f t="shared" si="37"/>
        <v>22445.96</v>
      </c>
      <c r="G130" s="146">
        <f>800+3800</f>
        <v>4600</v>
      </c>
      <c r="H130" s="173"/>
      <c r="I130" s="186">
        <f t="shared" si="38"/>
        <v>27045.96</v>
      </c>
      <c r="J130" s="229"/>
      <c r="K130" s="257"/>
      <c r="L130" s="186">
        <f t="shared" si="39"/>
        <v>27045.96</v>
      </c>
      <c r="M130" s="156"/>
      <c r="N130" s="257"/>
      <c r="O130" s="186">
        <f t="shared" si="40"/>
        <v>27045.96</v>
      </c>
      <c r="P130" s="239"/>
      <c r="Q130" s="256">
        <f t="shared" si="19"/>
        <v>27045.96</v>
      </c>
    </row>
    <row r="131" spans="1:17" ht="12.75">
      <c r="A131" s="13" t="s">
        <v>84</v>
      </c>
      <c r="B131" s="60"/>
      <c r="C131" s="100"/>
      <c r="D131" s="75"/>
      <c r="E131" s="75">
        <v>700</v>
      </c>
      <c r="F131" s="144">
        <f t="shared" si="37"/>
        <v>700</v>
      </c>
      <c r="G131" s="146"/>
      <c r="H131" s="173"/>
      <c r="I131" s="186">
        <f t="shared" si="38"/>
        <v>700</v>
      </c>
      <c r="J131" s="229"/>
      <c r="K131" s="257"/>
      <c r="L131" s="186">
        <f t="shared" si="39"/>
        <v>700</v>
      </c>
      <c r="M131" s="156"/>
      <c r="N131" s="257"/>
      <c r="O131" s="186">
        <f t="shared" si="40"/>
        <v>700</v>
      </c>
      <c r="P131" s="239"/>
      <c r="Q131" s="256">
        <f t="shared" si="19"/>
        <v>700</v>
      </c>
    </row>
    <row r="132" spans="1:17" ht="12.75">
      <c r="A132" s="13" t="s">
        <v>71</v>
      </c>
      <c r="B132" s="60"/>
      <c r="C132" s="100"/>
      <c r="D132" s="75"/>
      <c r="E132" s="75">
        <v>351.37</v>
      </c>
      <c r="F132" s="144">
        <f t="shared" si="37"/>
        <v>351.37</v>
      </c>
      <c r="G132" s="146"/>
      <c r="H132" s="173"/>
      <c r="I132" s="186">
        <f t="shared" si="38"/>
        <v>351.37</v>
      </c>
      <c r="J132" s="229"/>
      <c r="K132" s="257"/>
      <c r="L132" s="186">
        <f t="shared" si="39"/>
        <v>351.37</v>
      </c>
      <c r="M132" s="156"/>
      <c r="N132" s="257"/>
      <c r="O132" s="186">
        <f t="shared" si="40"/>
        <v>351.37</v>
      </c>
      <c r="P132" s="239"/>
      <c r="Q132" s="256">
        <f t="shared" si="19"/>
        <v>351.37</v>
      </c>
    </row>
    <row r="133" spans="1:17" ht="12.75">
      <c r="A133" s="13" t="s">
        <v>85</v>
      </c>
      <c r="B133" s="60">
        <v>91252</v>
      </c>
      <c r="C133" s="100"/>
      <c r="D133" s="75"/>
      <c r="E133" s="75"/>
      <c r="F133" s="144">
        <f t="shared" si="37"/>
        <v>0</v>
      </c>
      <c r="G133" s="146">
        <f>15000</f>
        <v>15000</v>
      </c>
      <c r="H133" s="173"/>
      <c r="I133" s="186">
        <f t="shared" si="38"/>
        <v>15000</v>
      </c>
      <c r="J133" s="229"/>
      <c r="K133" s="257"/>
      <c r="L133" s="186">
        <f t="shared" si="39"/>
        <v>15000</v>
      </c>
      <c r="M133" s="156"/>
      <c r="N133" s="257"/>
      <c r="O133" s="186">
        <f t="shared" si="40"/>
        <v>15000</v>
      </c>
      <c r="P133" s="239"/>
      <c r="Q133" s="256">
        <f t="shared" si="19"/>
        <v>15000</v>
      </c>
    </row>
    <row r="134" spans="1:17" ht="12.75">
      <c r="A134" s="13" t="s">
        <v>150</v>
      </c>
      <c r="B134" s="60">
        <v>27355</v>
      </c>
      <c r="C134" s="100"/>
      <c r="D134" s="75">
        <f>277153.29</f>
        <v>277153.29</v>
      </c>
      <c r="E134" s="75"/>
      <c r="F134" s="144">
        <f t="shared" si="37"/>
        <v>277153.29</v>
      </c>
      <c r="G134" s="146"/>
      <c r="H134" s="173"/>
      <c r="I134" s="186">
        <f t="shared" si="38"/>
        <v>277153.29</v>
      </c>
      <c r="J134" s="229"/>
      <c r="K134" s="257"/>
      <c r="L134" s="186">
        <f t="shared" si="39"/>
        <v>277153.29</v>
      </c>
      <c r="M134" s="156"/>
      <c r="N134" s="257"/>
      <c r="O134" s="186">
        <f t="shared" si="40"/>
        <v>277153.29</v>
      </c>
      <c r="P134" s="239"/>
      <c r="Q134" s="256">
        <f t="shared" si="19"/>
        <v>277153.29</v>
      </c>
    </row>
    <row r="135" spans="1:17" ht="12.75">
      <c r="A135" s="13" t="s">
        <v>57</v>
      </c>
      <c r="B135" s="60"/>
      <c r="C135" s="100">
        <v>467500</v>
      </c>
      <c r="D135" s="75">
        <f>6000+6500</f>
        <v>12500</v>
      </c>
      <c r="E135" s="75"/>
      <c r="F135" s="144">
        <f t="shared" si="37"/>
        <v>480000</v>
      </c>
      <c r="G135" s="154">
        <f>50000+23500-3800</f>
        <v>69700</v>
      </c>
      <c r="H135" s="173"/>
      <c r="I135" s="186">
        <f t="shared" si="38"/>
        <v>549700</v>
      </c>
      <c r="J135" s="229">
        <f>382+1388.83+7500</f>
        <v>9270.83</v>
      </c>
      <c r="K135" s="257"/>
      <c r="L135" s="186">
        <f t="shared" si="39"/>
        <v>558970.83</v>
      </c>
      <c r="M135" s="156">
        <f>20000+263.35</f>
        <v>20263.35</v>
      </c>
      <c r="N135" s="257"/>
      <c r="O135" s="186">
        <f t="shared" si="40"/>
        <v>579234.1799999999</v>
      </c>
      <c r="P135" s="239"/>
      <c r="Q135" s="256">
        <f t="shared" si="19"/>
        <v>579234.1799999999</v>
      </c>
    </row>
    <row r="136" spans="1:17" ht="12" customHeight="1" hidden="1">
      <c r="A136" s="13" t="s">
        <v>86</v>
      </c>
      <c r="B136" s="60"/>
      <c r="C136" s="100"/>
      <c r="D136" s="75"/>
      <c r="E136" s="75"/>
      <c r="F136" s="144">
        <f t="shared" si="37"/>
        <v>0</v>
      </c>
      <c r="G136" s="146"/>
      <c r="H136" s="173"/>
      <c r="I136" s="186">
        <f t="shared" si="38"/>
        <v>0</v>
      </c>
      <c r="J136" s="229"/>
      <c r="K136" s="257"/>
      <c r="L136" s="186">
        <f t="shared" si="39"/>
        <v>0</v>
      </c>
      <c r="M136" s="156"/>
      <c r="N136" s="257"/>
      <c r="O136" s="186">
        <f t="shared" si="40"/>
        <v>0</v>
      </c>
      <c r="P136" s="239"/>
      <c r="Q136" s="256">
        <f t="shared" si="19"/>
        <v>0</v>
      </c>
    </row>
    <row r="137" spans="1:17" ht="12.75">
      <c r="A137" s="20" t="s">
        <v>60</v>
      </c>
      <c r="B137" s="64"/>
      <c r="C137" s="119">
        <f>SUM(C139:C141)</f>
        <v>10000</v>
      </c>
      <c r="D137" s="80">
        <f aca="true" t="shared" si="41" ref="D137:Q137">SUM(D139:D141)</f>
        <v>7016.37</v>
      </c>
      <c r="E137" s="80">
        <f t="shared" si="41"/>
        <v>0</v>
      </c>
      <c r="F137" s="207">
        <f t="shared" si="41"/>
        <v>17016.37</v>
      </c>
      <c r="G137" s="151">
        <f t="shared" si="41"/>
        <v>0</v>
      </c>
      <c r="H137" s="177">
        <f t="shared" si="41"/>
        <v>0</v>
      </c>
      <c r="I137" s="190">
        <f t="shared" si="41"/>
        <v>17016.37</v>
      </c>
      <c r="J137" s="244">
        <f t="shared" si="41"/>
        <v>-17016.37</v>
      </c>
      <c r="K137" s="281">
        <f t="shared" si="41"/>
        <v>0</v>
      </c>
      <c r="L137" s="190">
        <f t="shared" si="41"/>
        <v>0</v>
      </c>
      <c r="M137" s="299">
        <f t="shared" si="41"/>
        <v>4000</v>
      </c>
      <c r="N137" s="281">
        <f t="shared" si="41"/>
        <v>0</v>
      </c>
      <c r="O137" s="190">
        <f t="shared" si="41"/>
        <v>4000</v>
      </c>
      <c r="P137" s="244">
        <f t="shared" si="41"/>
        <v>0</v>
      </c>
      <c r="Q137" s="225">
        <f t="shared" si="41"/>
        <v>4000</v>
      </c>
    </row>
    <row r="138" spans="1:17" ht="12.75">
      <c r="A138" s="11" t="s">
        <v>27</v>
      </c>
      <c r="B138" s="60"/>
      <c r="C138" s="96"/>
      <c r="D138" s="76"/>
      <c r="E138" s="76"/>
      <c r="F138" s="139"/>
      <c r="G138" s="148"/>
      <c r="H138" s="155"/>
      <c r="I138" s="187"/>
      <c r="J138" s="240"/>
      <c r="K138" s="260"/>
      <c r="L138" s="187"/>
      <c r="M138" s="296"/>
      <c r="N138" s="260"/>
      <c r="O138" s="187"/>
      <c r="P138" s="239"/>
      <c r="Q138" s="256"/>
    </row>
    <row r="139" spans="1:17" ht="12.75">
      <c r="A139" s="13" t="s">
        <v>61</v>
      </c>
      <c r="B139" s="60"/>
      <c r="C139" s="100">
        <v>10000</v>
      </c>
      <c r="D139" s="75">
        <f>7016.37</f>
        <v>7016.37</v>
      </c>
      <c r="E139" s="75"/>
      <c r="F139" s="144">
        <f>C139+D139+E139</f>
        <v>17016.37</v>
      </c>
      <c r="G139" s="146"/>
      <c r="H139" s="173"/>
      <c r="I139" s="186">
        <f>F139+G139+H139</f>
        <v>17016.37</v>
      </c>
      <c r="J139" s="229">
        <f>-17016.37</f>
        <v>-17016.37</v>
      </c>
      <c r="K139" s="257"/>
      <c r="L139" s="186">
        <f>I139+J139+K139</f>
        <v>0</v>
      </c>
      <c r="M139" s="156"/>
      <c r="N139" s="257"/>
      <c r="O139" s="186">
        <f>L139+M139+N139</f>
        <v>0</v>
      </c>
      <c r="P139" s="262"/>
      <c r="Q139" s="263">
        <f t="shared" si="19"/>
        <v>0</v>
      </c>
    </row>
    <row r="140" spans="1:17" ht="12.75">
      <c r="A140" s="16" t="s">
        <v>98</v>
      </c>
      <c r="B140" s="63"/>
      <c r="C140" s="118"/>
      <c r="D140" s="79"/>
      <c r="E140" s="79"/>
      <c r="F140" s="97">
        <f>C140+D140+E140</f>
        <v>0</v>
      </c>
      <c r="G140" s="146"/>
      <c r="H140" s="173"/>
      <c r="I140" s="186">
        <f>F140+G140+H140</f>
        <v>0</v>
      </c>
      <c r="J140" s="229"/>
      <c r="K140" s="257"/>
      <c r="L140" s="191">
        <f>I140+J140+K140</f>
        <v>0</v>
      </c>
      <c r="M140" s="300">
        <v>4000</v>
      </c>
      <c r="N140" s="261"/>
      <c r="O140" s="191">
        <f>L140+M140+N140</f>
        <v>4000</v>
      </c>
      <c r="P140" s="239"/>
      <c r="Q140" s="256">
        <f t="shared" si="19"/>
        <v>4000</v>
      </c>
    </row>
    <row r="141" spans="1:17" ht="12.75" hidden="1">
      <c r="A141" s="16" t="s">
        <v>87</v>
      </c>
      <c r="B141" s="63"/>
      <c r="C141" s="118"/>
      <c r="D141" s="79"/>
      <c r="E141" s="79"/>
      <c r="F141" s="97">
        <f>C141+D141+E141</f>
        <v>0</v>
      </c>
      <c r="G141" s="152"/>
      <c r="H141" s="178"/>
      <c r="I141" s="191">
        <f>F141+G141+H141</f>
        <v>0</v>
      </c>
      <c r="J141" s="245"/>
      <c r="K141" s="261"/>
      <c r="L141" s="191">
        <f>I141+J141+K141</f>
        <v>0</v>
      </c>
      <c r="M141" s="300"/>
      <c r="N141" s="261"/>
      <c r="O141" s="191">
        <f>L141+M141+N141</f>
        <v>0</v>
      </c>
      <c r="P141" s="262"/>
      <c r="Q141" s="263">
        <f t="shared" si="19"/>
        <v>0</v>
      </c>
    </row>
    <row r="142" spans="1:17" ht="12.75">
      <c r="A142" s="14" t="s">
        <v>88</v>
      </c>
      <c r="B142" s="64"/>
      <c r="C142" s="96">
        <f>C143+C148</f>
        <v>34397.46</v>
      </c>
      <c r="D142" s="76">
        <f aca="true" t="shared" si="42" ref="D142:Q142">D143+D148</f>
        <v>8600</v>
      </c>
      <c r="E142" s="76">
        <f t="shared" si="42"/>
        <v>0</v>
      </c>
      <c r="F142" s="139">
        <f t="shared" si="42"/>
        <v>42997.46</v>
      </c>
      <c r="G142" s="148">
        <f t="shared" si="42"/>
        <v>20090</v>
      </c>
      <c r="H142" s="155">
        <f t="shared" si="42"/>
        <v>0</v>
      </c>
      <c r="I142" s="187">
        <f t="shared" si="42"/>
        <v>63087.46</v>
      </c>
      <c r="J142" s="240">
        <f t="shared" si="42"/>
        <v>20373.89</v>
      </c>
      <c r="K142" s="260">
        <f t="shared" si="42"/>
        <v>0</v>
      </c>
      <c r="L142" s="187">
        <f t="shared" si="42"/>
        <v>83461.35</v>
      </c>
      <c r="M142" s="296">
        <f t="shared" si="42"/>
        <v>4198.26</v>
      </c>
      <c r="N142" s="260">
        <f t="shared" si="42"/>
        <v>0</v>
      </c>
      <c r="O142" s="187">
        <f t="shared" si="42"/>
        <v>87659.61</v>
      </c>
      <c r="P142" s="240">
        <f t="shared" si="42"/>
        <v>0</v>
      </c>
      <c r="Q142" s="222">
        <f t="shared" si="42"/>
        <v>87659.61</v>
      </c>
    </row>
    <row r="143" spans="1:17" ht="12.75">
      <c r="A143" s="19" t="s">
        <v>55</v>
      </c>
      <c r="B143" s="64"/>
      <c r="C143" s="117">
        <f>SUM(C145:C147)</f>
        <v>32397.46</v>
      </c>
      <c r="D143" s="78">
        <f aca="true" t="shared" si="43" ref="D143:Q143">SUM(D145:D147)</f>
        <v>8600</v>
      </c>
      <c r="E143" s="78">
        <f t="shared" si="43"/>
        <v>0</v>
      </c>
      <c r="F143" s="206">
        <f t="shared" si="43"/>
        <v>40997.46</v>
      </c>
      <c r="G143" s="150">
        <f t="shared" si="43"/>
        <v>16090</v>
      </c>
      <c r="H143" s="176">
        <f t="shared" si="43"/>
        <v>0</v>
      </c>
      <c r="I143" s="189">
        <f t="shared" si="43"/>
        <v>57087.46</v>
      </c>
      <c r="J143" s="243">
        <f t="shared" si="43"/>
        <v>762.21</v>
      </c>
      <c r="K143" s="280">
        <f t="shared" si="43"/>
        <v>0</v>
      </c>
      <c r="L143" s="189">
        <f t="shared" si="43"/>
        <v>57849.67</v>
      </c>
      <c r="M143" s="298">
        <f t="shared" si="43"/>
        <v>-171.55999999999995</v>
      </c>
      <c r="N143" s="280">
        <f t="shared" si="43"/>
        <v>0</v>
      </c>
      <c r="O143" s="189">
        <f t="shared" si="43"/>
        <v>57678.11</v>
      </c>
      <c r="P143" s="243">
        <f t="shared" si="43"/>
        <v>0</v>
      </c>
      <c r="Q143" s="224">
        <f t="shared" si="43"/>
        <v>57678.11</v>
      </c>
    </row>
    <row r="144" spans="1:17" ht="12.75">
      <c r="A144" s="15" t="s">
        <v>27</v>
      </c>
      <c r="B144" s="60"/>
      <c r="C144" s="100"/>
      <c r="D144" s="75"/>
      <c r="E144" s="75"/>
      <c r="F144" s="204"/>
      <c r="G144" s="146"/>
      <c r="H144" s="173"/>
      <c r="I144" s="185"/>
      <c r="J144" s="229"/>
      <c r="K144" s="257"/>
      <c r="L144" s="185"/>
      <c r="M144" s="156"/>
      <c r="N144" s="257"/>
      <c r="O144" s="185"/>
      <c r="P144" s="239"/>
      <c r="Q144" s="256"/>
    </row>
    <row r="145" spans="1:17" ht="12.75">
      <c r="A145" s="13" t="s">
        <v>57</v>
      </c>
      <c r="B145" s="60"/>
      <c r="C145" s="100">
        <v>8397.46</v>
      </c>
      <c r="D145" s="75">
        <f>8600</f>
        <v>8600</v>
      </c>
      <c r="E145" s="75"/>
      <c r="F145" s="144">
        <f>C145+D145+E145</f>
        <v>16997.46</v>
      </c>
      <c r="G145" s="154">
        <f>16090</f>
        <v>16090</v>
      </c>
      <c r="H145" s="173"/>
      <c r="I145" s="186">
        <f>F145+G145+H145</f>
        <v>33087.46</v>
      </c>
      <c r="J145" s="229">
        <f>762.21</f>
        <v>762.21</v>
      </c>
      <c r="K145" s="257"/>
      <c r="L145" s="186">
        <f>I145+J145+K145</f>
        <v>33849.67</v>
      </c>
      <c r="M145" s="156">
        <f>500-2040.01</f>
        <v>-1540.01</v>
      </c>
      <c r="N145" s="257"/>
      <c r="O145" s="186">
        <f>L145+M145+N145</f>
        <v>32309.66</v>
      </c>
      <c r="P145" s="239"/>
      <c r="Q145" s="256">
        <f>O145+P145</f>
        <v>32309.66</v>
      </c>
    </row>
    <row r="146" spans="1:17" ht="12.75" hidden="1">
      <c r="A146" s="13" t="s">
        <v>87</v>
      </c>
      <c r="B146" s="60"/>
      <c r="C146" s="100"/>
      <c r="D146" s="75"/>
      <c r="E146" s="75"/>
      <c r="F146" s="144">
        <f>C146+D146+E146</f>
        <v>0</v>
      </c>
      <c r="G146" s="146"/>
      <c r="H146" s="173"/>
      <c r="I146" s="186"/>
      <c r="J146" s="229"/>
      <c r="K146" s="257"/>
      <c r="L146" s="186"/>
      <c r="M146" s="156"/>
      <c r="N146" s="257"/>
      <c r="O146" s="186">
        <f>L146+M146+N146</f>
        <v>0</v>
      </c>
      <c r="P146" s="239"/>
      <c r="Q146" s="256">
        <f>O146+P146</f>
        <v>0</v>
      </c>
    </row>
    <row r="147" spans="1:17" ht="12.75">
      <c r="A147" s="13" t="s">
        <v>89</v>
      </c>
      <c r="B147" s="60"/>
      <c r="C147" s="100">
        <v>24000</v>
      </c>
      <c r="D147" s="75"/>
      <c r="E147" s="75"/>
      <c r="F147" s="144">
        <f>C147+D147+E147</f>
        <v>24000</v>
      </c>
      <c r="G147" s="146"/>
      <c r="H147" s="173"/>
      <c r="I147" s="186">
        <f>F147+G147+H147</f>
        <v>24000</v>
      </c>
      <c r="J147" s="229"/>
      <c r="K147" s="257"/>
      <c r="L147" s="186">
        <f>I147+J147+K147</f>
        <v>24000</v>
      </c>
      <c r="M147" s="156">
        <v>1368.45</v>
      </c>
      <c r="N147" s="257"/>
      <c r="O147" s="186">
        <f>L147+M147+N147</f>
        <v>25368.45</v>
      </c>
      <c r="P147" s="239"/>
      <c r="Q147" s="256">
        <f>O147+P147</f>
        <v>25368.45</v>
      </c>
    </row>
    <row r="148" spans="1:17" ht="12.75">
      <c r="A148" s="20" t="s">
        <v>60</v>
      </c>
      <c r="B148" s="64"/>
      <c r="C148" s="119">
        <f>SUM(C150:C153)</f>
        <v>2000</v>
      </c>
      <c r="D148" s="80">
        <f aca="true" t="shared" si="44" ref="D148:Q148">SUM(D150:D153)</f>
        <v>0</v>
      </c>
      <c r="E148" s="80">
        <f t="shared" si="44"/>
        <v>0</v>
      </c>
      <c r="F148" s="207">
        <f t="shared" si="44"/>
        <v>2000</v>
      </c>
      <c r="G148" s="151">
        <f t="shared" si="44"/>
        <v>4000</v>
      </c>
      <c r="H148" s="177">
        <f t="shared" si="44"/>
        <v>0</v>
      </c>
      <c r="I148" s="190">
        <f t="shared" si="44"/>
        <v>6000</v>
      </c>
      <c r="J148" s="244">
        <f t="shared" si="44"/>
        <v>19611.68</v>
      </c>
      <c r="K148" s="281">
        <f t="shared" si="44"/>
        <v>0</v>
      </c>
      <c r="L148" s="190">
        <f t="shared" si="44"/>
        <v>25611.68</v>
      </c>
      <c r="M148" s="299">
        <f t="shared" si="44"/>
        <v>4369.82</v>
      </c>
      <c r="N148" s="281">
        <f t="shared" si="44"/>
        <v>0</v>
      </c>
      <c r="O148" s="190">
        <f t="shared" si="44"/>
        <v>29981.5</v>
      </c>
      <c r="P148" s="244">
        <f t="shared" si="44"/>
        <v>0</v>
      </c>
      <c r="Q148" s="225">
        <f t="shared" si="44"/>
        <v>29981.5</v>
      </c>
    </row>
    <row r="149" spans="1:17" ht="12.75">
      <c r="A149" s="11" t="s">
        <v>27</v>
      </c>
      <c r="B149" s="60"/>
      <c r="C149" s="96"/>
      <c r="D149" s="76"/>
      <c r="E149" s="76"/>
      <c r="F149" s="139"/>
      <c r="G149" s="148"/>
      <c r="H149" s="155"/>
      <c r="I149" s="187"/>
      <c r="J149" s="240"/>
      <c r="K149" s="260"/>
      <c r="L149" s="187"/>
      <c r="M149" s="296"/>
      <c r="N149" s="260"/>
      <c r="O149" s="187"/>
      <c r="P149" s="239"/>
      <c r="Q149" s="256"/>
    </row>
    <row r="150" spans="1:17" ht="12.75">
      <c r="A150" s="13" t="s">
        <v>169</v>
      </c>
      <c r="B150" s="60">
        <v>98861</v>
      </c>
      <c r="C150" s="100"/>
      <c r="D150" s="75"/>
      <c r="E150" s="75"/>
      <c r="F150" s="144">
        <f>C150+D150+E150</f>
        <v>0</v>
      </c>
      <c r="G150" s="148"/>
      <c r="H150" s="155"/>
      <c r="I150" s="186"/>
      <c r="J150" s="240"/>
      <c r="K150" s="260"/>
      <c r="L150" s="186"/>
      <c r="M150" s="156">
        <v>2329.81</v>
      </c>
      <c r="N150" s="260"/>
      <c r="O150" s="186">
        <f>L150+M150+N150</f>
        <v>2329.81</v>
      </c>
      <c r="P150" s="239"/>
      <c r="Q150" s="256">
        <f>O150+P150</f>
        <v>2329.81</v>
      </c>
    </row>
    <row r="151" spans="1:17" ht="12.75" hidden="1">
      <c r="A151" s="13" t="s">
        <v>234</v>
      </c>
      <c r="B151" s="60">
        <v>7938</v>
      </c>
      <c r="C151" s="100"/>
      <c r="D151" s="75"/>
      <c r="E151" s="75"/>
      <c r="F151" s="144">
        <f>C151+D151+E151</f>
        <v>0</v>
      </c>
      <c r="G151" s="148"/>
      <c r="H151" s="155"/>
      <c r="I151" s="186"/>
      <c r="J151" s="240"/>
      <c r="K151" s="260"/>
      <c r="L151" s="186"/>
      <c r="M151" s="296"/>
      <c r="N151" s="260"/>
      <c r="O151" s="186"/>
      <c r="P151" s="239"/>
      <c r="Q151" s="256"/>
    </row>
    <row r="152" spans="1:17" ht="12.75" hidden="1">
      <c r="A152" s="13" t="s">
        <v>265</v>
      </c>
      <c r="B152" s="60"/>
      <c r="C152" s="100"/>
      <c r="D152" s="75"/>
      <c r="E152" s="75"/>
      <c r="F152" s="144">
        <f>C152+D152+E152</f>
        <v>0</v>
      </c>
      <c r="G152" s="148"/>
      <c r="H152" s="155"/>
      <c r="I152" s="186"/>
      <c r="J152" s="240"/>
      <c r="K152" s="260"/>
      <c r="L152" s="186"/>
      <c r="M152" s="296"/>
      <c r="N152" s="260"/>
      <c r="O152" s="186"/>
      <c r="P152" s="239"/>
      <c r="Q152" s="256"/>
    </row>
    <row r="153" spans="1:17" ht="12.75">
      <c r="A153" s="24" t="s">
        <v>61</v>
      </c>
      <c r="B153" s="63"/>
      <c r="C153" s="118">
        <v>2000</v>
      </c>
      <c r="D153" s="79"/>
      <c r="E153" s="79"/>
      <c r="F153" s="97">
        <f>C153+D153+E153</f>
        <v>2000</v>
      </c>
      <c r="G153" s="213">
        <f>4000</f>
        <v>4000</v>
      </c>
      <c r="H153" s="178"/>
      <c r="I153" s="191">
        <f>F153+G153+H153</f>
        <v>6000</v>
      </c>
      <c r="J153" s="245">
        <f>1000+15627.54+1634.14+1350</f>
        <v>19611.68</v>
      </c>
      <c r="K153" s="261"/>
      <c r="L153" s="191">
        <f>I153+J153+K153</f>
        <v>25611.68</v>
      </c>
      <c r="M153" s="300">
        <f>2040.01</f>
        <v>2040.01</v>
      </c>
      <c r="N153" s="261"/>
      <c r="O153" s="191">
        <f>L153+M153+N153</f>
        <v>27651.69</v>
      </c>
      <c r="P153" s="262"/>
      <c r="Q153" s="263">
        <f>O153+P153</f>
        <v>27651.69</v>
      </c>
    </row>
    <row r="154" spans="1:17" ht="12.75">
      <c r="A154" s="10" t="s">
        <v>288</v>
      </c>
      <c r="B154" s="64"/>
      <c r="C154" s="105">
        <f aca="true" t="shared" si="45" ref="C154:Q154">C155+C175</f>
        <v>4514.7</v>
      </c>
      <c r="D154" s="74">
        <f t="shared" si="45"/>
        <v>137652.71000000002</v>
      </c>
      <c r="E154" s="74">
        <f t="shared" si="45"/>
        <v>392.57</v>
      </c>
      <c r="F154" s="204">
        <f t="shared" si="45"/>
        <v>142559.98</v>
      </c>
      <c r="G154" s="145">
        <f t="shared" si="45"/>
        <v>109346.91999999998</v>
      </c>
      <c r="H154" s="172">
        <f t="shared" si="45"/>
        <v>0</v>
      </c>
      <c r="I154" s="185">
        <f t="shared" si="45"/>
        <v>251906.90000000002</v>
      </c>
      <c r="J154" s="238">
        <f t="shared" si="45"/>
        <v>10268.68</v>
      </c>
      <c r="K154" s="255">
        <f t="shared" si="45"/>
        <v>0</v>
      </c>
      <c r="L154" s="185">
        <f t="shared" si="45"/>
        <v>262175.58</v>
      </c>
      <c r="M154" s="254">
        <f t="shared" si="45"/>
        <v>4507.02</v>
      </c>
      <c r="N154" s="255">
        <f t="shared" si="45"/>
        <v>0</v>
      </c>
      <c r="O154" s="185">
        <f t="shared" si="45"/>
        <v>266682.6</v>
      </c>
      <c r="P154" s="238">
        <f t="shared" si="45"/>
        <v>0</v>
      </c>
      <c r="Q154" s="221">
        <f t="shared" si="45"/>
        <v>266682.6</v>
      </c>
    </row>
    <row r="155" spans="1:17" ht="12.75">
      <c r="A155" s="19" t="s">
        <v>55</v>
      </c>
      <c r="B155" s="64"/>
      <c r="C155" s="117">
        <f aca="true" t="shared" si="46" ref="C155:Q155">SUM(C157:C174)</f>
        <v>4514.7</v>
      </c>
      <c r="D155" s="78">
        <f t="shared" si="46"/>
        <v>23823.28</v>
      </c>
      <c r="E155" s="78">
        <f t="shared" si="46"/>
        <v>392.57</v>
      </c>
      <c r="F155" s="206">
        <f t="shared" si="46"/>
        <v>28730.549999999996</v>
      </c>
      <c r="G155" s="150">
        <f t="shared" si="46"/>
        <v>8917.650000000001</v>
      </c>
      <c r="H155" s="176">
        <f t="shared" si="46"/>
        <v>0</v>
      </c>
      <c r="I155" s="189">
        <f t="shared" si="46"/>
        <v>37648.2</v>
      </c>
      <c r="J155" s="243">
        <f t="shared" si="46"/>
        <v>10268.68</v>
      </c>
      <c r="K155" s="280">
        <f t="shared" si="46"/>
        <v>0</v>
      </c>
      <c r="L155" s="189">
        <f t="shared" si="46"/>
        <v>47916.880000000005</v>
      </c>
      <c r="M155" s="298">
        <f t="shared" si="46"/>
        <v>9615.02</v>
      </c>
      <c r="N155" s="280">
        <f t="shared" si="46"/>
        <v>0</v>
      </c>
      <c r="O155" s="189">
        <f t="shared" si="46"/>
        <v>57531.899999999994</v>
      </c>
      <c r="P155" s="243">
        <f t="shared" si="46"/>
        <v>0</v>
      </c>
      <c r="Q155" s="224">
        <f t="shared" si="46"/>
        <v>57531.899999999994</v>
      </c>
    </row>
    <row r="156" spans="1:17" ht="12.75">
      <c r="A156" s="11" t="s">
        <v>27</v>
      </c>
      <c r="B156" s="60"/>
      <c r="C156" s="96"/>
      <c r="D156" s="76"/>
      <c r="E156" s="76"/>
      <c r="F156" s="139"/>
      <c r="G156" s="148"/>
      <c r="H156" s="155"/>
      <c r="I156" s="187"/>
      <c r="J156" s="240"/>
      <c r="K156" s="260"/>
      <c r="L156" s="187"/>
      <c r="M156" s="296"/>
      <c r="N156" s="260"/>
      <c r="O156" s="187"/>
      <c r="P156" s="239"/>
      <c r="Q156" s="256"/>
    </row>
    <row r="157" spans="1:17" ht="12.75">
      <c r="A157" s="13" t="s">
        <v>57</v>
      </c>
      <c r="B157" s="60"/>
      <c r="C157" s="100">
        <v>3350.7</v>
      </c>
      <c r="D157" s="75"/>
      <c r="E157" s="75"/>
      <c r="F157" s="144">
        <f aca="true" t="shared" si="47" ref="F157:F174">C157+D157+E157</f>
        <v>3350.7</v>
      </c>
      <c r="G157" s="146">
        <f>-645</f>
        <v>-645</v>
      </c>
      <c r="H157" s="173"/>
      <c r="I157" s="186">
        <f>F157+G157+H157</f>
        <v>2705.7</v>
      </c>
      <c r="J157" s="241">
        <f>-112.5+700</f>
        <v>587.5</v>
      </c>
      <c r="K157" s="257"/>
      <c r="L157" s="186">
        <f>I157+J157+K157</f>
        <v>3293.2</v>
      </c>
      <c r="M157" s="264"/>
      <c r="N157" s="257"/>
      <c r="O157" s="186">
        <f>L157+M157+N157</f>
        <v>3293.2</v>
      </c>
      <c r="P157" s="239"/>
      <c r="Q157" s="256">
        <f>O157+P157</f>
        <v>3293.2</v>
      </c>
    </row>
    <row r="158" spans="1:17" ht="12.75">
      <c r="A158" s="61" t="s">
        <v>297</v>
      </c>
      <c r="B158" s="60">
        <v>2042</v>
      </c>
      <c r="C158" s="100"/>
      <c r="D158" s="75">
        <f>570.11+45.55</f>
        <v>615.66</v>
      </c>
      <c r="E158" s="75"/>
      <c r="F158" s="144">
        <f t="shared" si="47"/>
        <v>615.66</v>
      </c>
      <c r="G158" s="146"/>
      <c r="H158" s="173"/>
      <c r="I158" s="186">
        <f>F158+G158+H158</f>
        <v>615.66</v>
      </c>
      <c r="J158" s="241">
        <f>-517.16</f>
        <v>-517.16</v>
      </c>
      <c r="K158" s="257"/>
      <c r="L158" s="186">
        <f>I158+J158+K158</f>
        <v>98.5</v>
      </c>
      <c r="M158" s="156"/>
      <c r="N158" s="257"/>
      <c r="O158" s="186">
        <f aca="true" t="shared" si="48" ref="O158:O174">L158+M158+N158</f>
        <v>98.5</v>
      </c>
      <c r="P158" s="239"/>
      <c r="Q158" s="256">
        <f aca="true" t="shared" si="49" ref="Q158:Q174">O158+P158</f>
        <v>98.5</v>
      </c>
    </row>
    <row r="159" spans="1:17" ht="12.75">
      <c r="A159" s="61" t="s">
        <v>298</v>
      </c>
      <c r="B159" s="60">
        <v>2045</v>
      </c>
      <c r="C159" s="100"/>
      <c r="D159" s="75">
        <f>2123.49</f>
        <v>2123.49</v>
      </c>
      <c r="E159" s="75"/>
      <c r="F159" s="144">
        <f t="shared" si="47"/>
        <v>2123.49</v>
      </c>
      <c r="G159" s="146"/>
      <c r="H159" s="173"/>
      <c r="I159" s="186">
        <f aca="true" t="shared" si="50" ref="I159:I174">F159+G159+H159</f>
        <v>2123.49</v>
      </c>
      <c r="J159" s="229"/>
      <c r="K159" s="257"/>
      <c r="L159" s="186">
        <f aca="true" t="shared" si="51" ref="L159:L174">I159+J159+K159</f>
        <v>2123.49</v>
      </c>
      <c r="M159" s="156"/>
      <c r="N159" s="257"/>
      <c r="O159" s="186">
        <f t="shared" si="48"/>
        <v>2123.49</v>
      </c>
      <c r="P159" s="239"/>
      <c r="Q159" s="256">
        <f t="shared" si="49"/>
        <v>2123.49</v>
      </c>
    </row>
    <row r="160" spans="1:17" ht="12.75">
      <c r="A160" s="61" t="s">
        <v>363</v>
      </c>
      <c r="B160" s="60"/>
      <c r="C160" s="100"/>
      <c r="D160" s="75"/>
      <c r="E160" s="75"/>
      <c r="F160" s="144">
        <f t="shared" si="47"/>
        <v>0</v>
      </c>
      <c r="G160" s="146">
        <f>1661.89</f>
        <v>1661.89</v>
      </c>
      <c r="H160" s="173"/>
      <c r="I160" s="186">
        <f t="shared" si="50"/>
        <v>1661.89</v>
      </c>
      <c r="J160" s="229"/>
      <c r="K160" s="257"/>
      <c r="L160" s="186">
        <f t="shared" si="51"/>
        <v>1661.89</v>
      </c>
      <c r="M160" s="156"/>
      <c r="N160" s="257"/>
      <c r="O160" s="186">
        <f t="shared" si="48"/>
        <v>1661.89</v>
      </c>
      <c r="P160" s="239"/>
      <c r="Q160" s="256">
        <f t="shared" si="49"/>
        <v>1661.89</v>
      </c>
    </row>
    <row r="161" spans="1:17" ht="12.75">
      <c r="A161" s="61" t="s">
        <v>299</v>
      </c>
      <c r="B161" s="60">
        <v>2016</v>
      </c>
      <c r="C161" s="100"/>
      <c r="D161" s="75">
        <f>1476.73</f>
        <v>1476.73</v>
      </c>
      <c r="E161" s="75"/>
      <c r="F161" s="144">
        <f t="shared" si="47"/>
        <v>1476.73</v>
      </c>
      <c r="G161" s="146"/>
      <c r="H161" s="173"/>
      <c r="I161" s="186">
        <f t="shared" si="50"/>
        <v>1476.73</v>
      </c>
      <c r="J161" s="229"/>
      <c r="K161" s="257"/>
      <c r="L161" s="186">
        <f t="shared" si="51"/>
        <v>1476.73</v>
      </c>
      <c r="M161" s="156"/>
      <c r="N161" s="257"/>
      <c r="O161" s="186">
        <f t="shared" si="48"/>
        <v>1476.73</v>
      </c>
      <c r="P161" s="239"/>
      <c r="Q161" s="256">
        <f t="shared" si="49"/>
        <v>1476.73</v>
      </c>
    </row>
    <row r="162" spans="1:17" ht="12.75">
      <c r="A162" s="61" t="s">
        <v>344</v>
      </c>
      <c r="B162" s="60"/>
      <c r="C162" s="100"/>
      <c r="D162" s="75"/>
      <c r="E162" s="75"/>
      <c r="F162" s="144">
        <f t="shared" si="47"/>
        <v>0</v>
      </c>
      <c r="G162" s="146">
        <f>580.07</f>
        <v>580.07</v>
      </c>
      <c r="H162" s="173"/>
      <c r="I162" s="186">
        <f t="shared" si="50"/>
        <v>580.07</v>
      </c>
      <c r="J162" s="229">
        <f>616.7</f>
        <v>616.7</v>
      </c>
      <c r="K162" s="257"/>
      <c r="L162" s="186">
        <f t="shared" si="51"/>
        <v>1196.77</v>
      </c>
      <c r="M162" s="156"/>
      <c r="N162" s="257"/>
      <c r="O162" s="186">
        <f t="shared" si="48"/>
        <v>1196.77</v>
      </c>
      <c r="P162" s="239"/>
      <c r="Q162" s="256">
        <f t="shared" si="49"/>
        <v>1196.77</v>
      </c>
    </row>
    <row r="163" spans="1:17" ht="12.75">
      <c r="A163" s="61" t="s">
        <v>300</v>
      </c>
      <c r="B163" s="60">
        <v>2057</v>
      </c>
      <c r="C163" s="100"/>
      <c r="D163" s="75">
        <f>464.67</f>
        <v>464.67</v>
      </c>
      <c r="E163" s="75"/>
      <c r="F163" s="144">
        <f t="shared" si="47"/>
        <v>464.67</v>
      </c>
      <c r="G163" s="146"/>
      <c r="H163" s="173"/>
      <c r="I163" s="186">
        <f t="shared" si="50"/>
        <v>464.67</v>
      </c>
      <c r="J163" s="229">
        <f>112.5</f>
        <v>112.5</v>
      </c>
      <c r="K163" s="257"/>
      <c r="L163" s="186">
        <f t="shared" si="51"/>
        <v>577.1700000000001</v>
      </c>
      <c r="M163" s="156">
        <f>5228+38.66</f>
        <v>5266.66</v>
      </c>
      <c r="N163" s="257"/>
      <c r="O163" s="186">
        <f t="shared" si="48"/>
        <v>5843.83</v>
      </c>
      <c r="P163" s="239"/>
      <c r="Q163" s="256">
        <f t="shared" si="49"/>
        <v>5843.83</v>
      </c>
    </row>
    <row r="164" spans="1:17" ht="12.75">
      <c r="A164" s="22" t="s">
        <v>301</v>
      </c>
      <c r="B164" s="60">
        <v>2064</v>
      </c>
      <c r="C164" s="100"/>
      <c r="D164" s="75">
        <f>2583.81</f>
        <v>2583.81</v>
      </c>
      <c r="E164" s="75"/>
      <c r="F164" s="144">
        <f t="shared" si="47"/>
        <v>2583.81</v>
      </c>
      <c r="G164" s="146"/>
      <c r="H164" s="173"/>
      <c r="I164" s="186">
        <f t="shared" si="50"/>
        <v>2583.81</v>
      </c>
      <c r="J164" s="229"/>
      <c r="K164" s="257"/>
      <c r="L164" s="186">
        <f t="shared" si="51"/>
        <v>2583.81</v>
      </c>
      <c r="M164" s="156">
        <f>442.24-120</f>
        <v>322.24</v>
      </c>
      <c r="N164" s="257"/>
      <c r="O164" s="186">
        <f t="shared" si="48"/>
        <v>2906.05</v>
      </c>
      <c r="P164" s="239"/>
      <c r="Q164" s="256">
        <f t="shared" si="49"/>
        <v>2906.05</v>
      </c>
    </row>
    <row r="165" spans="1:17" ht="12.75">
      <c r="A165" s="61" t="s">
        <v>292</v>
      </c>
      <c r="B165" s="60"/>
      <c r="C165" s="100"/>
      <c r="D165" s="75">
        <f>1017.81</f>
        <v>1017.81</v>
      </c>
      <c r="E165" s="75"/>
      <c r="F165" s="144">
        <f t="shared" si="47"/>
        <v>1017.81</v>
      </c>
      <c r="G165" s="146"/>
      <c r="H165" s="173"/>
      <c r="I165" s="186">
        <f t="shared" si="50"/>
        <v>1017.81</v>
      </c>
      <c r="J165" s="229"/>
      <c r="K165" s="257"/>
      <c r="L165" s="186">
        <f t="shared" si="51"/>
        <v>1017.81</v>
      </c>
      <c r="M165" s="156"/>
      <c r="N165" s="257"/>
      <c r="O165" s="186">
        <f t="shared" si="48"/>
        <v>1017.81</v>
      </c>
      <c r="P165" s="239"/>
      <c r="Q165" s="256">
        <f t="shared" si="49"/>
        <v>1017.81</v>
      </c>
    </row>
    <row r="166" spans="1:17" ht="12.75">
      <c r="A166" s="61" t="s">
        <v>361</v>
      </c>
      <c r="B166" s="60"/>
      <c r="C166" s="100"/>
      <c r="D166" s="75"/>
      <c r="E166" s="75"/>
      <c r="F166" s="144">
        <f t="shared" si="47"/>
        <v>0</v>
      </c>
      <c r="G166" s="146">
        <f>4049.47</f>
        <v>4049.47</v>
      </c>
      <c r="H166" s="173"/>
      <c r="I166" s="186">
        <f t="shared" si="50"/>
        <v>4049.47</v>
      </c>
      <c r="J166" s="229"/>
      <c r="K166" s="257"/>
      <c r="L166" s="186">
        <f t="shared" si="51"/>
        <v>4049.47</v>
      </c>
      <c r="M166" s="156">
        <v>492.06</v>
      </c>
      <c r="N166" s="257"/>
      <c r="O166" s="186">
        <f t="shared" si="48"/>
        <v>4541.53</v>
      </c>
      <c r="P166" s="239"/>
      <c r="Q166" s="256">
        <f t="shared" si="49"/>
        <v>4541.53</v>
      </c>
    </row>
    <row r="167" spans="1:17" ht="12.75">
      <c r="A167" s="22" t="s">
        <v>317</v>
      </c>
      <c r="B167" s="60">
        <v>2067</v>
      </c>
      <c r="C167" s="100"/>
      <c r="D167" s="75">
        <f>918.88</f>
        <v>918.88</v>
      </c>
      <c r="E167" s="75"/>
      <c r="F167" s="144">
        <f t="shared" si="47"/>
        <v>918.88</v>
      </c>
      <c r="G167" s="146"/>
      <c r="H167" s="173"/>
      <c r="I167" s="186">
        <f t="shared" si="50"/>
        <v>918.88</v>
      </c>
      <c r="J167" s="229"/>
      <c r="K167" s="257"/>
      <c r="L167" s="186">
        <f t="shared" si="51"/>
        <v>918.88</v>
      </c>
      <c r="M167" s="156"/>
      <c r="N167" s="257"/>
      <c r="O167" s="186">
        <f t="shared" si="48"/>
        <v>918.88</v>
      </c>
      <c r="P167" s="239"/>
      <c r="Q167" s="256">
        <f t="shared" si="49"/>
        <v>918.88</v>
      </c>
    </row>
    <row r="168" spans="1:17" ht="12.75">
      <c r="A168" s="61" t="s">
        <v>362</v>
      </c>
      <c r="B168" s="60"/>
      <c r="C168" s="100"/>
      <c r="D168" s="75"/>
      <c r="E168" s="75"/>
      <c r="F168" s="144">
        <f t="shared" si="47"/>
        <v>0</v>
      </c>
      <c r="G168" s="146">
        <f>1306.52</f>
        <v>1306.52</v>
      </c>
      <c r="H168" s="173"/>
      <c r="I168" s="186">
        <f t="shared" si="50"/>
        <v>1306.52</v>
      </c>
      <c r="J168" s="229"/>
      <c r="K168" s="257"/>
      <c r="L168" s="186">
        <f t="shared" si="51"/>
        <v>1306.52</v>
      </c>
      <c r="M168" s="156"/>
      <c r="N168" s="257"/>
      <c r="O168" s="186">
        <f t="shared" si="48"/>
        <v>1306.52</v>
      </c>
      <c r="P168" s="239"/>
      <c r="Q168" s="256">
        <f t="shared" si="49"/>
        <v>1306.52</v>
      </c>
    </row>
    <row r="169" spans="1:17" ht="12.75">
      <c r="A169" s="61" t="s">
        <v>379</v>
      </c>
      <c r="B169" s="60">
        <v>2074</v>
      </c>
      <c r="C169" s="100"/>
      <c r="D169" s="75">
        <f>2007.86</f>
        <v>2007.86</v>
      </c>
      <c r="E169" s="75"/>
      <c r="F169" s="144">
        <f t="shared" si="47"/>
        <v>2007.86</v>
      </c>
      <c r="G169" s="146"/>
      <c r="H169" s="173"/>
      <c r="I169" s="186">
        <f t="shared" si="50"/>
        <v>2007.86</v>
      </c>
      <c r="J169" s="229"/>
      <c r="K169" s="257"/>
      <c r="L169" s="186">
        <f t="shared" si="51"/>
        <v>2007.86</v>
      </c>
      <c r="M169" s="156"/>
      <c r="N169" s="257"/>
      <c r="O169" s="186">
        <f t="shared" si="48"/>
        <v>2007.86</v>
      </c>
      <c r="P169" s="239"/>
      <c r="Q169" s="256">
        <f t="shared" si="49"/>
        <v>2007.86</v>
      </c>
    </row>
    <row r="170" spans="1:17" ht="12.75">
      <c r="A170" s="61" t="s">
        <v>380</v>
      </c>
      <c r="B170" s="60">
        <v>2074</v>
      </c>
      <c r="C170" s="100"/>
      <c r="D170" s="75"/>
      <c r="E170" s="75"/>
      <c r="F170" s="144"/>
      <c r="G170" s="146"/>
      <c r="H170" s="173"/>
      <c r="I170" s="186">
        <f t="shared" si="50"/>
        <v>0</v>
      </c>
      <c r="J170" s="229">
        <f>886.59</f>
        <v>886.59</v>
      </c>
      <c r="K170" s="257"/>
      <c r="L170" s="186">
        <f t="shared" si="51"/>
        <v>886.59</v>
      </c>
      <c r="M170" s="156"/>
      <c r="N170" s="257"/>
      <c r="O170" s="186">
        <f t="shared" si="48"/>
        <v>886.59</v>
      </c>
      <c r="P170" s="239"/>
      <c r="Q170" s="256">
        <f t="shared" si="49"/>
        <v>886.59</v>
      </c>
    </row>
    <row r="171" spans="1:17" ht="12.75">
      <c r="A171" s="61" t="s">
        <v>398</v>
      </c>
      <c r="B171" s="60">
        <v>2068</v>
      </c>
      <c r="C171" s="100"/>
      <c r="D171" s="75">
        <f>7.72</f>
        <v>7.72</v>
      </c>
      <c r="E171" s="75"/>
      <c r="F171" s="144">
        <f t="shared" si="47"/>
        <v>7.72</v>
      </c>
      <c r="G171" s="146"/>
      <c r="H171" s="173"/>
      <c r="I171" s="186">
        <f t="shared" si="50"/>
        <v>7.72</v>
      </c>
      <c r="J171" s="229">
        <f>863.44</f>
        <v>863.44</v>
      </c>
      <c r="K171" s="257"/>
      <c r="L171" s="186">
        <f t="shared" si="51"/>
        <v>871.1600000000001</v>
      </c>
      <c r="M171" s="156">
        <v>3767.23</v>
      </c>
      <c r="N171" s="257"/>
      <c r="O171" s="186">
        <f t="shared" si="48"/>
        <v>4638.39</v>
      </c>
      <c r="P171" s="239"/>
      <c r="Q171" s="256">
        <f t="shared" si="49"/>
        <v>4638.39</v>
      </c>
    </row>
    <row r="172" spans="1:17" ht="12.75">
      <c r="A172" s="61" t="s">
        <v>381</v>
      </c>
      <c r="B172" s="60">
        <v>2242</v>
      </c>
      <c r="C172" s="100"/>
      <c r="D172" s="75"/>
      <c r="E172" s="75"/>
      <c r="F172" s="144"/>
      <c r="G172" s="146"/>
      <c r="H172" s="173"/>
      <c r="I172" s="186">
        <f t="shared" si="50"/>
        <v>0</v>
      </c>
      <c r="J172" s="229">
        <f>5786.95</f>
        <v>5786.95</v>
      </c>
      <c r="K172" s="257"/>
      <c r="L172" s="186">
        <f t="shared" si="51"/>
        <v>5786.95</v>
      </c>
      <c r="M172" s="156"/>
      <c r="N172" s="257"/>
      <c r="O172" s="186">
        <f t="shared" si="48"/>
        <v>5786.95</v>
      </c>
      <c r="P172" s="239"/>
      <c r="Q172" s="256">
        <f t="shared" si="49"/>
        <v>5786.95</v>
      </c>
    </row>
    <row r="173" spans="1:17" ht="12.75">
      <c r="A173" s="61" t="s">
        <v>302</v>
      </c>
      <c r="B173" s="60">
        <v>2058</v>
      </c>
      <c r="C173" s="100"/>
      <c r="D173" s="75"/>
      <c r="E173" s="75"/>
      <c r="F173" s="144">
        <f t="shared" si="47"/>
        <v>0</v>
      </c>
      <c r="G173" s="146"/>
      <c r="H173" s="173"/>
      <c r="I173" s="186">
        <f t="shared" si="50"/>
        <v>0</v>
      </c>
      <c r="J173" s="229"/>
      <c r="K173" s="257"/>
      <c r="L173" s="186">
        <f t="shared" si="51"/>
        <v>0</v>
      </c>
      <c r="M173" s="156"/>
      <c r="N173" s="257"/>
      <c r="O173" s="186">
        <f t="shared" si="48"/>
        <v>0</v>
      </c>
      <c r="P173" s="239"/>
      <c r="Q173" s="256">
        <f t="shared" si="49"/>
        <v>0</v>
      </c>
    </row>
    <row r="174" spans="1:17" ht="12.75">
      <c r="A174" s="13" t="s">
        <v>87</v>
      </c>
      <c r="B174" s="60"/>
      <c r="C174" s="100">
        <v>1164</v>
      </c>
      <c r="D174" s="75">
        <f>140.48+264.99+1361.51+3061.14+262.21+4051.42+105+3357.5+2.4</f>
        <v>12606.65</v>
      </c>
      <c r="E174" s="75">
        <f>392.57</f>
        <v>392.57</v>
      </c>
      <c r="F174" s="144">
        <f t="shared" si="47"/>
        <v>14163.22</v>
      </c>
      <c r="G174" s="146">
        <f>44.15+19.67+18.59+750.63+316.11+334.35+29.37+499.26-47.43</f>
        <v>1964.6999999999998</v>
      </c>
      <c r="H174" s="173"/>
      <c r="I174" s="186">
        <f t="shared" si="50"/>
        <v>16127.919999999998</v>
      </c>
      <c r="J174" s="241">
        <f>-182.84+2115</f>
        <v>1932.16</v>
      </c>
      <c r="K174" s="257"/>
      <c r="L174" s="186">
        <f t="shared" si="51"/>
        <v>18060.079999999998</v>
      </c>
      <c r="M174" s="156">
        <f>23.16+393.67-650</f>
        <v>-233.16999999999996</v>
      </c>
      <c r="N174" s="257"/>
      <c r="O174" s="186">
        <f t="shared" si="48"/>
        <v>17826.91</v>
      </c>
      <c r="P174" s="239"/>
      <c r="Q174" s="256">
        <f t="shared" si="49"/>
        <v>17826.91</v>
      </c>
    </row>
    <row r="175" spans="1:17" ht="12.75">
      <c r="A175" s="20" t="s">
        <v>60</v>
      </c>
      <c r="B175" s="64"/>
      <c r="C175" s="119">
        <f>SUM(C177:C183)</f>
        <v>0</v>
      </c>
      <c r="D175" s="80">
        <f aca="true" t="shared" si="52" ref="D175:Q175">SUM(D177:D183)</f>
        <v>113829.43000000001</v>
      </c>
      <c r="E175" s="80">
        <f t="shared" si="52"/>
        <v>0</v>
      </c>
      <c r="F175" s="207">
        <f t="shared" si="52"/>
        <v>113829.43000000001</v>
      </c>
      <c r="G175" s="151">
        <f t="shared" si="52"/>
        <v>100429.26999999999</v>
      </c>
      <c r="H175" s="177">
        <f t="shared" si="52"/>
        <v>0</v>
      </c>
      <c r="I175" s="190">
        <f t="shared" si="52"/>
        <v>214258.7</v>
      </c>
      <c r="J175" s="244">
        <f t="shared" si="52"/>
        <v>0</v>
      </c>
      <c r="K175" s="281">
        <f t="shared" si="52"/>
        <v>0</v>
      </c>
      <c r="L175" s="190">
        <f t="shared" si="52"/>
        <v>214258.7</v>
      </c>
      <c r="M175" s="299">
        <f t="shared" si="52"/>
        <v>-5108</v>
      </c>
      <c r="N175" s="281">
        <f t="shared" si="52"/>
        <v>0</v>
      </c>
      <c r="O175" s="190">
        <f t="shared" si="52"/>
        <v>209150.7</v>
      </c>
      <c r="P175" s="244">
        <f t="shared" si="52"/>
        <v>0</v>
      </c>
      <c r="Q175" s="225">
        <f t="shared" si="52"/>
        <v>209150.7</v>
      </c>
    </row>
    <row r="176" spans="1:17" ht="12.75">
      <c r="A176" s="22" t="s">
        <v>27</v>
      </c>
      <c r="B176" s="60"/>
      <c r="C176" s="100"/>
      <c r="D176" s="75"/>
      <c r="E176" s="75"/>
      <c r="F176" s="144"/>
      <c r="G176" s="146"/>
      <c r="H176" s="173"/>
      <c r="I176" s="186"/>
      <c r="J176" s="229"/>
      <c r="K176" s="257"/>
      <c r="L176" s="186"/>
      <c r="M176" s="156"/>
      <c r="N176" s="257"/>
      <c r="O176" s="186"/>
      <c r="P176" s="239"/>
      <c r="Q176" s="256"/>
    </row>
    <row r="177" spans="1:17" ht="12.75">
      <c r="A177" s="61" t="s">
        <v>303</v>
      </c>
      <c r="B177" s="60">
        <v>2057</v>
      </c>
      <c r="C177" s="100"/>
      <c r="D177" s="75">
        <f>5228</f>
        <v>5228</v>
      </c>
      <c r="E177" s="75"/>
      <c r="F177" s="144">
        <f aca="true" t="shared" si="53" ref="F177:F183">C177+D177+E177</f>
        <v>5228</v>
      </c>
      <c r="G177" s="146"/>
      <c r="H177" s="173"/>
      <c r="I177" s="186">
        <f aca="true" t="shared" si="54" ref="I177:I183">F177+G177+H177</f>
        <v>5228</v>
      </c>
      <c r="J177" s="229"/>
      <c r="K177" s="257"/>
      <c r="L177" s="186">
        <f aca="true" t="shared" si="55" ref="L177:L183">I177+J177+K177</f>
        <v>5228</v>
      </c>
      <c r="M177" s="156">
        <v>-5228</v>
      </c>
      <c r="N177" s="257"/>
      <c r="O177" s="186">
        <f aca="true" t="shared" si="56" ref="O177:O183">L177+M177+N177</f>
        <v>0</v>
      </c>
      <c r="P177" s="239"/>
      <c r="Q177" s="256">
        <f aca="true" t="shared" si="57" ref="Q177:Q240">O177+P177</f>
        <v>0</v>
      </c>
    </row>
    <row r="178" spans="1:17" ht="12.75">
      <c r="A178" s="22" t="s">
        <v>301</v>
      </c>
      <c r="B178" s="60">
        <v>2064</v>
      </c>
      <c r="C178" s="100"/>
      <c r="D178" s="75">
        <v>77636.19</v>
      </c>
      <c r="E178" s="75"/>
      <c r="F178" s="144">
        <f t="shared" si="53"/>
        <v>77636.19</v>
      </c>
      <c r="G178" s="146"/>
      <c r="H178" s="173"/>
      <c r="I178" s="186">
        <f t="shared" si="54"/>
        <v>77636.19</v>
      </c>
      <c r="J178" s="229"/>
      <c r="K178" s="257"/>
      <c r="L178" s="186">
        <f t="shared" si="55"/>
        <v>77636.19</v>
      </c>
      <c r="M178" s="156">
        <v>120</v>
      </c>
      <c r="N178" s="257"/>
      <c r="O178" s="186">
        <f t="shared" si="56"/>
        <v>77756.19</v>
      </c>
      <c r="P178" s="239"/>
      <c r="Q178" s="256">
        <f t="shared" si="57"/>
        <v>77756.19</v>
      </c>
    </row>
    <row r="179" spans="1:17" ht="12.75">
      <c r="A179" s="61" t="s">
        <v>292</v>
      </c>
      <c r="B179" s="60"/>
      <c r="C179" s="100"/>
      <c r="D179" s="75">
        <f>30038.24</f>
        <v>30038.24</v>
      </c>
      <c r="E179" s="75"/>
      <c r="F179" s="144">
        <f t="shared" si="53"/>
        <v>30038.24</v>
      </c>
      <c r="G179" s="146"/>
      <c r="H179" s="173"/>
      <c r="I179" s="186">
        <f t="shared" si="54"/>
        <v>30038.24</v>
      </c>
      <c r="J179" s="229"/>
      <c r="K179" s="257"/>
      <c r="L179" s="186">
        <f t="shared" si="55"/>
        <v>30038.24</v>
      </c>
      <c r="M179" s="156"/>
      <c r="N179" s="257"/>
      <c r="O179" s="186">
        <f t="shared" si="56"/>
        <v>30038.24</v>
      </c>
      <c r="P179" s="239"/>
      <c r="Q179" s="256">
        <f t="shared" si="57"/>
        <v>30038.24</v>
      </c>
    </row>
    <row r="180" spans="1:17" ht="12.75">
      <c r="A180" s="61" t="s">
        <v>361</v>
      </c>
      <c r="B180" s="60"/>
      <c r="C180" s="100"/>
      <c r="D180" s="75"/>
      <c r="E180" s="75"/>
      <c r="F180" s="144">
        <f t="shared" si="53"/>
        <v>0</v>
      </c>
      <c r="G180" s="146">
        <f>99736.84</f>
        <v>99736.84</v>
      </c>
      <c r="H180" s="173"/>
      <c r="I180" s="186">
        <f t="shared" si="54"/>
        <v>99736.84</v>
      </c>
      <c r="J180" s="229"/>
      <c r="K180" s="257"/>
      <c r="L180" s="186">
        <f t="shared" si="55"/>
        <v>99736.84</v>
      </c>
      <c r="M180" s="156"/>
      <c r="N180" s="257"/>
      <c r="O180" s="186">
        <f t="shared" si="56"/>
        <v>99736.84</v>
      </c>
      <c r="P180" s="239"/>
      <c r="Q180" s="256">
        <f t="shared" si="57"/>
        <v>99736.84</v>
      </c>
    </row>
    <row r="181" spans="1:17" ht="12.75" hidden="1">
      <c r="A181" s="13" t="s">
        <v>75</v>
      </c>
      <c r="B181" s="60"/>
      <c r="C181" s="100"/>
      <c r="D181" s="75"/>
      <c r="E181" s="75"/>
      <c r="F181" s="144">
        <f t="shared" si="53"/>
        <v>0</v>
      </c>
      <c r="G181" s="146"/>
      <c r="H181" s="173"/>
      <c r="I181" s="186">
        <f t="shared" si="54"/>
        <v>0</v>
      </c>
      <c r="J181" s="229"/>
      <c r="K181" s="257"/>
      <c r="L181" s="186">
        <f t="shared" si="55"/>
        <v>0</v>
      </c>
      <c r="M181" s="156"/>
      <c r="N181" s="257"/>
      <c r="O181" s="186">
        <f t="shared" si="56"/>
        <v>0</v>
      </c>
      <c r="P181" s="239"/>
      <c r="Q181" s="256">
        <f t="shared" si="57"/>
        <v>0</v>
      </c>
    </row>
    <row r="182" spans="1:17" ht="12.75">
      <c r="A182" s="13" t="s">
        <v>61</v>
      </c>
      <c r="B182" s="60"/>
      <c r="C182" s="100"/>
      <c r="D182" s="75">
        <f>807+120</f>
        <v>927</v>
      </c>
      <c r="E182" s="75"/>
      <c r="F182" s="144">
        <f t="shared" si="53"/>
        <v>927</v>
      </c>
      <c r="G182" s="146">
        <f>645</f>
        <v>645</v>
      </c>
      <c r="H182" s="173"/>
      <c r="I182" s="186">
        <f t="shared" si="54"/>
        <v>1572</v>
      </c>
      <c r="J182" s="229"/>
      <c r="K182" s="257"/>
      <c r="L182" s="186">
        <f t="shared" si="55"/>
        <v>1572</v>
      </c>
      <c r="M182" s="156"/>
      <c r="N182" s="257"/>
      <c r="O182" s="186">
        <f t="shared" si="56"/>
        <v>1572</v>
      </c>
      <c r="P182" s="239"/>
      <c r="Q182" s="256">
        <f t="shared" si="57"/>
        <v>1572</v>
      </c>
    </row>
    <row r="183" spans="1:17" ht="12.75">
      <c r="A183" s="16" t="s">
        <v>87</v>
      </c>
      <c r="B183" s="63"/>
      <c r="C183" s="118"/>
      <c r="D183" s="79"/>
      <c r="E183" s="79"/>
      <c r="F183" s="97">
        <f t="shared" si="53"/>
        <v>0</v>
      </c>
      <c r="G183" s="152">
        <f>47.43</f>
        <v>47.43</v>
      </c>
      <c r="H183" s="178"/>
      <c r="I183" s="191">
        <f t="shared" si="54"/>
        <v>47.43</v>
      </c>
      <c r="J183" s="245"/>
      <c r="K183" s="261"/>
      <c r="L183" s="191">
        <f t="shared" si="55"/>
        <v>47.43</v>
      </c>
      <c r="M183" s="300"/>
      <c r="N183" s="261"/>
      <c r="O183" s="191">
        <f t="shared" si="56"/>
        <v>47.43</v>
      </c>
      <c r="P183" s="262"/>
      <c r="Q183" s="263">
        <f t="shared" si="57"/>
        <v>47.43</v>
      </c>
    </row>
    <row r="184" spans="1:17" ht="12.75">
      <c r="A184" s="10" t="s">
        <v>92</v>
      </c>
      <c r="B184" s="64"/>
      <c r="C184" s="105">
        <f aca="true" t="shared" si="58" ref="C184:Q184">C185+C231</f>
        <v>371870.46</v>
      </c>
      <c r="D184" s="74">
        <f t="shared" si="58"/>
        <v>7069090.17</v>
      </c>
      <c r="E184" s="74">
        <f t="shared" si="58"/>
        <v>0</v>
      </c>
      <c r="F184" s="204">
        <f t="shared" si="58"/>
        <v>7440960.630000001</v>
      </c>
      <c r="G184" s="145">
        <f t="shared" si="58"/>
        <v>119719.31999999999</v>
      </c>
      <c r="H184" s="172">
        <f t="shared" si="58"/>
        <v>0</v>
      </c>
      <c r="I184" s="185">
        <f t="shared" si="58"/>
        <v>7560679.949999999</v>
      </c>
      <c r="J184" s="238">
        <f t="shared" si="58"/>
        <v>121734.45</v>
      </c>
      <c r="K184" s="255">
        <f t="shared" si="58"/>
        <v>0</v>
      </c>
      <c r="L184" s="185">
        <f t="shared" si="58"/>
        <v>7682414.4</v>
      </c>
      <c r="M184" s="254">
        <f t="shared" si="58"/>
        <v>147630.9</v>
      </c>
      <c r="N184" s="255">
        <f t="shared" si="58"/>
        <v>0</v>
      </c>
      <c r="O184" s="185">
        <f t="shared" si="58"/>
        <v>7830045.3</v>
      </c>
      <c r="P184" s="238">
        <f t="shared" si="58"/>
        <v>0</v>
      </c>
      <c r="Q184" s="221">
        <f t="shared" si="58"/>
        <v>7801410.899999999</v>
      </c>
    </row>
    <row r="185" spans="1:17" ht="12.75">
      <c r="A185" s="19" t="s">
        <v>55</v>
      </c>
      <c r="B185" s="64"/>
      <c r="C185" s="117">
        <f aca="true" t="shared" si="59" ref="C185:Q185">SUM(C187:C230)</f>
        <v>371315.46</v>
      </c>
      <c r="D185" s="78">
        <f t="shared" si="59"/>
        <v>7064824.61</v>
      </c>
      <c r="E185" s="78">
        <f t="shared" si="59"/>
        <v>0</v>
      </c>
      <c r="F185" s="206">
        <f t="shared" si="59"/>
        <v>7436140.070000001</v>
      </c>
      <c r="G185" s="150">
        <f t="shared" si="59"/>
        <v>113624.23999999999</v>
      </c>
      <c r="H185" s="176">
        <f t="shared" si="59"/>
        <v>0</v>
      </c>
      <c r="I185" s="189">
        <f t="shared" si="59"/>
        <v>7549764.31</v>
      </c>
      <c r="J185" s="243">
        <f t="shared" si="59"/>
        <v>121529.95</v>
      </c>
      <c r="K185" s="280">
        <f t="shared" si="59"/>
        <v>0</v>
      </c>
      <c r="L185" s="189">
        <f t="shared" si="59"/>
        <v>7671294.260000001</v>
      </c>
      <c r="M185" s="298">
        <f t="shared" si="59"/>
        <v>145980.9</v>
      </c>
      <c r="N185" s="280">
        <f t="shared" si="59"/>
        <v>0</v>
      </c>
      <c r="O185" s="189">
        <f t="shared" si="59"/>
        <v>7817275.16</v>
      </c>
      <c r="P185" s="243">
        <f t="shared" si="59"/>
        <v>0</v>
      </c>
      <c r="Q185" s="224">
        <f t="shared" si="59"/>
        <v>7788640.76</v>
      </c>
    </row>
    <row r="186" spans="1:17" ht="12.75">
      <c r="A186" s="11" t="s">
        <v>27</v>
      </c>
      <c r="B186" s="60"/>
      <c r="C186" s="100"/>
      <c r="D186" s="75"/>
      <c r="E186" s="75"/>
      <c r="F186" s="144"/>
      <c r="G186" s="146"/>
      <c r="H186" s="173"/>
      <c r="I186" s="186"/>
      <c r="J186" s="229"/>
      <c r="K186" s="257"/>
      <c r="L186" s="186"/>
      <c r="M186" s="156"/>
      <c r="N186" s="257"/>
      <c r="O186" s="186"/>
      <c r="P186" s="239"/>
      <c r="Q186" s="256"/>
    </row>
    <row r="187" spans="1:17" ht="12.75">
      <c r="A187" s="17" t="s">
        <v>83</v>
      </c>
      <c r="B187" s="60"/>
      <c r="C187" s="100">
        <v>342145.78</v>
      </c>
      <c r="D187" s="75">
        <f>1000+450+19208.21</f>
        <v>20658.21</v>
      </c>
      <c r="E187" s="75"/>
      <c r="F187" s="144">
        <f aca="true" t="shared" si="60" ref="F187:F230">C187+D187+E187</f>
        <v>362803.99000000005</v>
      </c>
      <c r="G187" s="146">
        <f>15120.21+240-15</f>
        <v>15345.21</v>
      </c>
      <c r="H187" s="173"/>
      <c r="I187" s="186">
        <f>F187+G187+H187</f>
        <v>378149.20000000007</v>
      </c>
      <c r="J187" s="229">
        <f>2685.13</f>
        <v>2685.13</v>
      </c>
      <c r="K187" s="257"/>
      <c r="L187" s="186">
        <f>I187+J187+K187</f>
        <v>380834.3300000001</v>
      </c>
      <c r="M187" s="156">
        <f>13335.31+1330-325.61+39.25+150</f>
        <v>14528.949999999999</v>
      </c>
      <c r="N187" s="257"/>
      <c r="O187" s="186">
        <f>L187+M187+N187</f>
        <v>395363.2800000001</v>
      </c>
      <c r="P187" s="239"/>
      <c r="Q187" s="256">
        <f t="shared" si="57"/>
        <v>395363.2800000001</v>
      </c>
    </row>
    <row r="188" spans="1:17" ht="12.75">
      <c r="A188" s="17" t="s">
        <v>248</v>
      </c>
      <c r="B188" s="60"/>
      <c r="C188" s="100"/>
      <c r="D188" s="75"/>
      <c r="E188" s="75"/>
      <c r="F188" s="144"/>
      <c r="G188" s="146"/>
      <c r="H188" s="173"/>
      <c r="I188" s="186"/>
      <c r="J188" s="229"/>
      <c r="K188" s="257"/>
      <c r="L188" s="186"/>
      <c r="M188" s="156"/>
      <c r="N188" s="257"/>
      <c r="O188" s="186"/>
      <c r="P188" s="239"/>
      <c r="Q188" s="256"/>
    </row>
    <row r="189" spans="1:17" ht="12.75">
      <c r="A189" s="17" t="s">
        <v>93</v>
      </c>
      <c r="B189" s="60">
        <v>33353</v>
      </c>
      <c r="C189" s="100"/>
      <c r="D189" s="81">
        <f>2051533.29</f>
        <v>2051533.29</v>
      </c>
      <c r="E189" s="75"/>
      <c r="F189" s="144">
        <f t="shared" si="60"/>
        <v>2051533.29</v>
      </c>
      <c r="G189" s="146"/>
      <c r="H189" s="173"/>
      <c r="I189" s="186">
        <f aca="true" t="shared" si="61" ref="I189:I230">F189+G189+H189</f>
        <v>2051533.29</v>
      </c>
      <c r="J189" s="229"/>
      <c r="K189" s="257"/>
      <c r="L189" s="186">
        <f aca="true" t="shared" si="62" ref="L189:L230">I189+J189+K189</f>
        <v>2051533.29</v>
      </c>
      <c r="M189" s="156"/>
      <c r="N189" s="257"/>
      <c r="O189" s="186">
        <f aca="true" t="shared" si="63" ref="O189:O230">L189+M189+N189</f>
        <v>2051533.29</v>
      </c>
      <c r="P189" s="239"/>
      <c r="Q189" s="256">
        <f t="shared" si="57"/>
        <v>2051533.29</v>
      </c>
    </row>
    <row r="190" spans="1:19" ht="12.75">
      <c r="A190" s="17" t="s">
        <v>95</v>
      </c>
      <c r="B190" s="60">
        <v>33353</v>
      </c>
      <c r="C190" s="100"/>
      <c r="D190" s="81">
        <f>4745059.11</f>
        <v>4745059.11</v>
      </c>
      <c r="E190" s="75"/>
      <c r="F190" s="144">
        <f t="shared" si="60"/>
        <v>4745059.11</v>
      </c>
      <c r="G190" s="146"/>
      <c r="H190" s="173"/>
      <c r="I190" s="186">
        <f t="shared" si="61"/>
        <v>4745059.11</v>
      </c>
      <c r="J190" s="229"/>
      <c r="K190" s="257"/>
      <c r="L190" s="186">
        <f t="shared" si="62"/>
        <v>4745059.11</v>
      </c>
      <c r="M190" s="156"/>
      <c r="N190" s="257"/>
      <c r="O190" s="186">
        <f t="shared" si="63"/>
        <v>4745059.11</v>
      </c>
      <c r="P190" s="239"/>
      <c r="Q190" s="256">
        <f t="shared" si="57"/>
        <v>4745059.11</v>
      </c>
      <c r="S190" s="44"/>
    </row>
    <row r="191" spans="1:17" ht="12.75">
      <c r="A191" s="17" t="s">
        <v>94</v>
      </c>
      <c r="B191" s="60">
        <v>33155</v>
      </c>
      <c r="C191" s="100"/>
      <c r="D191" s="81">
        <f>82582.99</f>
        <v>82582.99</v>
      </c>
      <c r="E191" s="75"/>
      <c r="F191" s="144">
        <f t="shared" si="60"/>
        <v>82582.99</v>
      </c>
      <c r="G191" s="146">
        <f>80846.95+263.29</f>
        <v>81110.23999999999</v>
      </c>
      <c r="H191" s="173"/>
      <c r="I191" s="186">
        <f t="shared" si="61"/>
        <v>163693.22999999998</v>
      </c>
      <c r="J191" s="229">
        <f>84183.27</f>
        <v>84183.27</v>
      </c>
      <c r="K191" s="257"/>
      <c r="L191" s="186">
        <f t="shared" si="62"/>
        <v>247876.5</v>
      </c>
      <c r="M191" s="156">
        <f>87425.49-450.73</f>
        <v>86974.76000000001</v>
      </c>
      <c r="N191" s="257"/>
      <c r="O191" s="186">
        <f t="shared" si="63"/>
        <v>334851.26</v>
      </c>
      <c r="P191" s="239"/>
      <c r="Q191" s="256">
        <f t="shared" si="57"/>
        <v>334851.26</v>
      </c>
    </row>
    <row r="192" spans="1:17" ht="12.75">
      <c r="A192" s="17" t="s">
        <v>96</v>
      </c>
      <c r="B192" s="60" t="s">
        <v>233</v>
      </c>
      <c r="C192" s="100"/>
      <c r="D192" s="75"/>
      <c r="E192" s="75"/>
      <c r="F192" s="144">
        <f t="shared" si="60"/>
        <v>0</v>
      </c>
      <c r="G192" s="146">
        <f>58.8</f>
        <v>58.8</v>
      </c>
      <c r="H192" s="173"/>
      <c r="I192" s="186">
        <f t="shared" si="61"/>
        <v>58.8</v>
      </c>
      <c r="J192" s="229"/>
      <c r="K192" s="257"/>
      <c r="L192" s="186">
        <f t="shared" si="62"/>
        <v>58.8</v>
      </c>
      <c r="M192" s="156"/>
      <c r="N192" s="257"/>
      <c r="O192" s="186">
        <f t="shared" si="63"/>
        <v>58.8</v>
      </c>
      <c r="P192" s="239"/>
      <c r="Q192" s="256">
        <f t="shared" si="57"/>
        <v>58.8</v>
      </c>
    </row>
    <row r="193" spans="1:17" ht="12.75" hidden="1">
      <c r="A193" s="17" t="s">
        <v>148</v>
      </c>
      <c r="B193" s="60"/>
      <c r="C193" s="100"/>
      <c r="D193" s="75"/>
      <c r="E193" s="75"/>
      <c r="F193" s="144">
        <f t="shared" si="60"/>
        <v>0</v>
      </c>
      <c r="G193" s="146"/>
      <c r="H193" s="173"/>
      <c r="I193" s="186">
        <f t="shared" si="61"/>
        <v>0</v>
      </c>
      <c r="J193" s="229"/>
      <c r="K193" s="257"/>
      <c r="L193" s="186">
        <f t="shared" si="62"/>
        <v>0</v>
      </c>
      <c r="M193" s="156"/>
      <c r="N193" s="257"/>
      <c r="O193" s="186">
        <f t="shared" si="63"/>
        <v>0</v>
      </c>
      <c r="P193" s="239"/>
      <c r="Q193" s="256">
        <f t="shared" si="57"/>
        <v>0</v>
      </c>
    </row>
    <row r="194" spans="1:17" ht="12.75" hidden="1">
      <c r="A194" s="17" t="s">
        <v>229</v>
      </c>
      <c r="B194" s="60">
        <v>33215</v>
      </c>
      <c r="C194" s="100"/>
      <c r="D194" s="75"/>
      <c r="E194" s="75"/>
      <c r="F194" s="144">
        <f t="shared" si="60"/>
        <v>0</v>
      </c>
      <c r="G194" s="146"/>
      <c r="H194" s="173"/>
      <c r="I194" s="186">
        <f t="shared" si="61"/>
        <v>0</v>
      </c>
      <c r="J194" s="229"/>
      <c r="K194" s="257"/>
      <c r="L194" s="186">
        <f t="shared" si="62"/>
        <v>0</v>
      </c>
      <c r="M194" s="156"/>
      <c r="N194" s="257"/>
      <c r="O194" s="186">
        <f t="shared" si="63"/>
        <v>0</v>
      </c>
      <c r="P194" s="239"/>
      <c r="Q194" s="256">
        <f t="shared" si="57"/>
        <v>0</v>
      </c>
    </row>
    <row r="195" spans="1:17" ht="12.75" hidden="1">
      <c r="A195" s="17" t="s">
        <v>230</v>
      </c>
      <c r="B195" s="60">
        <v>33457</v>
      </c>
      <c r="C195" s="100"/>
      <c r="D195" s="75"/>
      <c r="E195" s="75"/>
      <c r="F195" s="144">
        <f t="shared" si="60"/>
        <v>0</v>
      </c>
      <c r="G195" s="146"/>
      <c r="H195" s="173"/>
      <c r="I195" s="186">
        <f t="shared" si="61"/>
        <v>0</v>
      </c>
      <c r="J195" s="229"/>
      <c r="K195" s="257"/>
      <c r="L195" s="186">
        <f t="shared" si="62"/>
        <v>0</v>
      </c>
      <c r="M195" s="156"/>
      <c r="N195" s="257"/>
      <c r="O195" s="186">
        <f t="shared" si="63"/>
        <v>0</v>
      </c>
      <c r="P195" s="239"/>
      <c r="Q195" s="256">
        <f t="shared" si="57"/>
        <v>0</v>
      </c>
    </row>
    <row r="196" spans="1:17" ht="12.75" hidden="1">
      <c r="A196" s="17" t="s">
        <v>210</v>
      </c>
      <c r="B196" s="60">
        <v>33052</v>
      </c>
      <c r="C196" s="100"/>
      <c r="D196" s="75"/>
      <c r="E196" s="75"/>
      <c r="F196" s="144">
        <f t="shared" si="60"/>
        <v>0</v>
      </c>
      <c r="G196" s="146"/>
      <c r="H196" s="173"/>
      <c r="I196" s="186">
        <f t="shared" si="61"/>
        <v>0</v>
      </c>
      <c r="J196" s="229"/>
      <c r="K196" s="257"/>
      <c r="L196" s="186">
        <f t="shared" si="62"/>
        <v>0</v>
      </c>
      <c r="M196" s="156"/>
      <c r="N196" s="257"/>
      <c r="O196" s="186">
        <f t="shared" si="63"/>
        <v>0</v>
      </c>
      <c r="P196" s="239"/>
      <c r="Q196" s="256">
        <f t="shared" si="57"/>
        <v>0</v>
      </c>
    </row>
    <row r="197" spans="1:17" ht="12.75">
      <c r="A197" s="35" t="s">
        <v>340</v>
      </c>
      <c r="B197" s="60">
        <v>33074</v>
      </c>
      <c r="C197" s="100"/>
      <c r="D197" s="75"/>
      <c r="E197" s="75"/>
      <c r="F197" s="144">
        <f t="shared" si="60"/>
        <v>0</v>
      </c>
      <c r="G197" s="146">
        <f>17703.68</f>
        <v>17703.68</v>
      </c>
      <c r="H197" s="173"/>
      <c r="I197" s="186">
        <f t="shared" si="61"/>
        <v>17703.68</v>
      </c>
      <c r="J197" s="229">
        <v>13735.51</v>
      </c>
      <c r="K197" s="257"/>
      <c r="L197" s="186">
        <f t="shared" si="62"/>
        <v>31439.190000000002</v>
      </c>
      <c r="M197" s="156">
        <f>-8122.54-1207.04</f>
        <v>-9329.58</v>
      </c>
      <c r="N197" s="257"/>
      <c r="O197" s="186">
        <f t="shared" si="63"/>
        <v>22109.61</v>
      </c>
      <c r="P197" s="239"/>
      <c r="Q197" s="256">
        <f t="shared" si="57"/>
        <v>22109.61</v>
      </c>
    </row>
    <row r="198" spans="1:17" ht="12.75">
      <c r="A198" s="35" t="s">
        <v>386</v>
      </c>
      <c r="B198" s="60">
        <v>33077</v>
      </c>
      <c r="C198" s="100"/>
      <c r="D198" s="75"/>
      <c r="E198" s="75"/>
      <c r="F198" s="144"/>
      <c r="G198" s="146"/>
      <c r="H198" s="173"/>
      <c r="I198" s="186"/>
      <c r="J198" s="229"/>
      <c r="K198" s="257"/>
      <c r="L198" s="186">
        <f t="shared" si="62"/>
        <v>0</v>
      </c>
      <c r="M198" s="156">
        <f>30504.97-3248.52-97.51</f>
        <v>27158.940000000002</v>
      </c>
      <c r="N198" s="257"/>
      <c r="O198" s="186">
        <f t="shared" si="63"/>
        <v>27158.940000000002</v>
      </c>
      <c r="P198" s="239"/>
      <c r="Q198" s="256"/>
    </row>
    <row r="199" spans="1:17" ht="12.75">
      <c r="A199" s="35" t="s">
        <v>310</v>
      </c>
      <c r="B199" s="60">
        <v>33076</v>
      </c>
      <c r="C199" s="100"/>
      <c r="D199" s="75">
        <f>114637.51</f>
        <v>114637.51</v>
      </c>
      <c r="E199" s="75"/>
      <c r="F199" s="144">
        <f t="shared" si="60"/>
        <v>114637.51</v>
      </c>
      <c r="G199" s="146"/>
      <c r="H199" s="173"/>
      <c r="I199" s="186">
        <f t="shared" si="61"/>
        <v>114637.51</v>
      </c>
      <c r="J199" s="229"/>
      <c r="K199" s="257"/>
      <c r="L199" s="186">
        <f t="shared" si="62"/>
        <v>114637.51</v>
      </c>
      <c r="M199" s="156"/>
      <c r="N199" s="257"/>
      <c r="O199" s="186">
        <f t="shared" si="63"/>
        <v>114637.51</v>
      </c>
      <c r="P199" s="239"/>
      <c r="Q199" s="256">
        <f t="shared" si="57"/>
        <v>114637.51</v>
      </c>
    </row>
    <row r="200" spans="1:17" ht="12.75">
      <c r="A200" s="17" t="s">
        <v>249</v>
      </c>
      <c r="B200" s="60">
        <v>33069</v>
      </c>
      <c r="C200" s="100"/>
      <c r="D200" s="75">
        <f>11285.15</f>
        <v>11285.15</v>
      </c>
      <c r="E200" s="75"/>
      <c r="F200" s="144">
        <f t="shared" si="60"/>
        <v>11285.15</v>
      </c>
      <c r="G200" s="146"/>
      <c r="H200" s="173"/>
      <c r="I200" s="186">
        <f t="shared" si="61"/>
        <v>11285.15</v>
      </c>
      <c r="J200" s="229"/>
      <c r="K200" s="257"/>
      <c r="L200" s="186">
        <f t="shared" si="62"/>
        <v>11285.15</v>
      </c>
      <c r="M200" s="156"/>
      <c r="N200" s="257"/>
      <c r="O200" s="186">
        <f t="shared" si="63"/>
        <v>11285.15</v>
      </c>
      <c r="P200" s="239"/>
      <c r="Q200" s="256">
        <f t="shared" si="57"/>
        <v>11285.15</v>
      </c>
    </row>
    <row r="201" spans="1:17" ht="12.75">
      <c r="A201" s="17" t="s">
        <v>287</v>
      </c>
      <c r="B201" s="60">
        <v>33070</v>
      </c>
      <c r="C201" s="100"/>
      <c r="D201" s="75">
        <f>2348.06</f>
        <v>2348.06</v>
      </c>
      <c r="E201" s="75"/>
      <c r="F201" s="144">
        <f t="shared" si="60"/>
        <v>2348.06</v>
      </c>
      <c r="G201" s="146"/>
      <c r="H201" s="173"/>
      <c r="I201" s="186">
        <f t="shared" si="61"/>
        <v>2348.06</v>
      </c>
      <c r="J201" s="229">
        <f>-189.46</f>
        <v>-189.46</v>
      </c>
      <c r="K201" s="257"/>
      <c r="L201" s="186">
        <f t="shared" si="62"/>
        <v>2158.6</v>
      </c>
      <c r="M201" s="156">
        <f>-59.31+1452.12</f>
        <v>1392.81</v>
      </c>
      <c r="N201" s="257"/>
      <c r="O201" s="186">
        <f t="shared" si="63"/>
        <v>3551.41</v>
      </c>
      <c r="P201" s="239"/>
      <c r="Q201" s="256">
        <f t="shared" si="57"/>
        <v>3551.41</v>
      </c>
    </row>
    <row r="202" spans="1:17" ht="12.75">
      <c r="A202" s="17" t="s">
        <v>279</v>
      </c>
      <c r="B202" s="60">
        <v>33071</v>
      </c>
      <c r="C202" s="100"/>
      <c r="D202" s="75">
        <f>612.5</f>
        <v>612.5</v>
      </c>
      <c r="E202" s="75"/>
      <c r="F202" s="144">
        <f t="shared" si="60"/>
        <v>612.5</v>
      </c>
      <c r="G202" s="146"/>
      <c r="H202" s="173"/>
      <c r="I202" s="186">
        <f t="shared" si="61"/>
        <v>612.5</v>
      </c>
      <c r="J202" s="229">
        <f>857.5-152.65</f>
        <v>704.85</v>
      </c>
      <c r="K202" s="257"/>
      <c r="L202" s="186">
        <f t="shared" si="62"/>
        <v>1317.35</v>
      </c>
      <c r="M202" s="156"/>
      <c r="N202" s="257"/>
      <c r="O202" s="186">
        <f t="shared" si="63"/>
        <v>1317.35</v>
      </c>
      <c r="P202" s="239"/>
      <c r="Q202" s="256">
        <f t="shared" si="57"/>
        <v>1317.35</v>
      </c>
    </row>
    <row r="203" spans="1:17" ht="12.75" hidden="1">
      <c r="A203" s="17" t="s">
        <v>211</v>
      </c>
      <c r="B203" s="60">
        <v>33050</v>
      </c>
      <c r="C203" s="100"/>
      <c r="D203" s="75"/>
      <c r="E203" s="75"/>
      <c r="F203" s="144">
        <f t="shared" si="60"/>
        <v>0</v>
      </c>
      <c r="G203" s="146"/>
      <c r="H203" s="173"/>
      <c r="I203" s="186">
        <f t="shared" si="61"/>
        <v>0</v>
      </c>
      <c r="J203" s="229"/>
      <c r="K203" s="257"/>
      <c r="L203" s="186">
        <f t="shared" si="62"/>
        <v>0</v>
      </c>
      <c r="M203" s="156"/>
      <c r="N203" s="257"/>
      <c r="O203" s="186">
        <f t="shared" si="63"/>
        <v>0</v>
      </c>
      <c r="P203" s="239"/>
      <c r="Q203" s="256">
        <f t="shared" si="57"/>
        <v>0</v>
      </c>
    </row>
    <row r="204" spans="1:17" ht="12.75" hidden="1">
      <c r="A204" s="17" t="s">
        <v>159</v>
      </c>
      <c r="B204" s="60">
        <v>33435</v>
      </c>
      <c r="C204" s="100"/>
      <c r="D204" s="75"/>
      <c r="E204" s="75"/>
      <c r="F204" s="144">
        <f t="shared" si="60"/>
        <v>0</v>
      </c>
      <c r="G204" s="146"/>
      <c r="H204" s="173"/>
      <c r="I204" s="186">
        <f t="shared" si="61"/>
        <v>0</v>
      </c>
      <c r="J204" s="229"/>
      <c r="K204" s="257"/>
      <c r="L204" s="186">
        <f t="shared" si="62"/>
        <v>0</v>
      </c>
      <c r="M204" s="156"/>
      <c r="N204" s="257"/>
      <c r="O204" s="186">
        <f t="shared" si="63"/>
        <v>0</v>
      </c>
      <c r="P204" s="239"/>
      <c r="Q204" s="256">
        <f t="shared" si="57"/>
        <v>0</v>
      </c>
    </row>
    <row r="205" spans="1:17" ht="12.75">
      <c r="A205" s="17" t="s">
        <v>235</v>
      </c>
      <c r="B205" s="60">
        <v>33049</v>
      </c>
      <c r="C205" s="100"/>
      <c r="D205" s="75"/>
      <c r="E205" s="75"/>
      <c r="F205" s="144">
        <f t="shared" si="60"/>
        <v>0</v>
      </c>
      <c r="G205" s="146">
        <f>6791.4</f>
        <v>6791.4</v>
      </c>
      <c r="H205" s="173"/>
      <c r="I205" s="186">
        <f t="shared" si="61"/>
        <v>6791.4</v>
      </c>
      <c r="J205" s="229"/>
      <c r="K205" s="257"/>
      <c r="L205" s="186">
        <f t="shared" si="62"/>
        <v>6791.4</v>
      </c>
      <c r="M205" s="156">
        <v>-0.23</v>
      </c>
      <c r="N205" s="257"/>
      <c r="O205" s="186">
        <f t="shared" si="63"/>
        <v>6791.17</v>
      </c>
      <c r="P205" s="239"/>
      <c r="Q205" s="256">
        <f t="shared" si="57"/>
        <v>6791.17</v>
      </c>
    </row>
    <row r="206" spans="1:17" ht="12.75" hidden="1">
      <c r="A206" s="17" t="s">
        <v>212</v>
      </c>
      <c r="B206" s="60">
        <v>33044</v>
      </c>
      <c r="C206" s="100"/>
      <c r="D206" s="75"/>
      <c r="E206" s="75"/>
      <c r="F206" s="144">
        <f t="shared" si="60"/>
        <v>0</v>
      </c>
      <c r="G206" s="146"/>
      <c r="H206" s="173"/>
      <c r="I206" s="186">
        <f t="shared" si="61"/>
        <v>0</v>
      </c>
      <c r="J206" s="229"/>
      <c r="K206" s="257"/>
      <c r="L206" s="186">
        <f t="shared" si="62"/>
        <v>0</v>
      </c>
      <c r="M206" s="156"/>
      <c r="N206" s="257"/>
      <c r="O206" s="186">
        <f t="shared" si="63"/>
        <v>0</v>
      </c>
      <c r="P206" s="239"/>
      <c r="Q206" s="256">
        <f t="shared" si="57"/>
        <v>0</v>
      </c>
    </row>
    <row r="207" spans="1:17" ht="12.75">
      <c r="A207" s="17" t="s">
        <v>389</v>
      </c>
      <c r="B207" s="60">
        <v>33040</v>
      </c>
      <c r="C207" s="100"/>
      <c r="D207" s="75"/>
      <c r="E207" s="75"/>
      <c r="F207" s="144"/>
      <c r="G207" s="146"/>
      <c r="H207" s="173"/>
      <c r="I207" s="186"/>
      <c r="J207" s="229"/>
      <c r="K207" s="257"/>
      <c r="L207" s="186">
        <f t="shared" si="62"/>
        <v>0</v>
      </c>
      <c r="M207" s="156">
        <f>754.5</f>
        <v>754.5</v>
      </c>
      <c r="N207" s="257"/>
      <c r="O207" s="186">
        <f t="shared" si="63"/>
        <v>754.5</v>
      </c>
      <c r="P207" s="239"/>
      <c r="Q207" s="256"/>
    </row>
    <row r="208" spans="1:17" ht="12.75" hidden="1">
      <c r="A208" s="17" t="s">
        <v>217</v>
      </c>
      <c r="B208" s="60">
        <v>33024</v>
      </c>
      <c r="C208" s="100"/>
      <c r="D208" s="75"/>
      <c r="E208" s="75"/>
      <c r="F208" s="144">
        <f t="shared" si="60"/>
        <v>0</v>
      </c>
      <c r="G208" s="146"/>
      <c r="H208" s="173"/>
      <c r="I208" s="186">
        <f t="shared" si="61"/>
        <v>0</v>
      </c>
      <c r="J208" s="229"/>
      <c r="K208" s="257"/>
      <c r="L208" s="186">
        <f t="shared" si="62"/>
        <v>0</v>
      </c>
      <c r="M208" s="156"/>
      <c r="N208" s="257"/>
      <c r="O208" s="186">
        <f t="shared" si="63"/>
        <v>0</v>
      </c>
      <c r="P208" s="239"/>
      <c r="Q208" s="256">
        <f t="shared" si="57"/>
        <v>0</v>
      </c>
    </row>
    <row r="209" spans="1:17" ht="12.75" hidden="1">
      <c r="A209" s="35" t="s">
        <v>163</v>
      </c>
      <c r="B209" s="60">
        <v>33018</v>
      </c>
      <c r="C209" s="100"/>
      <c r="D209" s="75"/>
      <c r="E209" s="75"/>
      <c r="F209" s="144">
        <f t="shared" si="60"/>
        <v>0</v>
      </c>
      <c r="G209" s="146"/>
      <c r="H209" s="173"/>
      <c r="I209" s="186">
        <f t="shared" si="61"/>
        <v>0</v>
      </c>
      <c r="J209" s="229"/>
      <c r="K209" s="257"/>
      <c r="L209" s="186">
        <f t="shared" si="62"/>
        <v>0</v>
      </c>
      <c r="M209" s="156"/>
      <c r="N209" s="257"/>
      <c r="O209" s="186">
        <f t="shared" si="63"/>
        <v>0</v>
      </c>
      <c r="P209" s="239"/>
      <c r="Q209" s="256">
        <f t="shared" si="57"/>
        <v>0</v>
      </c>
    </row>
    <row r="210" spans="1:17" ht="12.75" hidden="1">
      <c r="A210" s="35" t="s">
        <v>164</v>
      </c>
      <c r="B210" s="60"/>
      <c r="C210" s="100"/>
      <c r="D210" s="75"/>
      <c r="E210" s="75"/>
      <c r="F210" s="144">
        <f t="shared" si="60"/>
        <v>0</v>
      </c>
      <c r="G210" s="146"/>
      <c r="H210" s="173"/>
      <c r="I210" s="186">
        <f t="shared" si="61"/>
        <v>0</v>
      </c>
      <c r="J210" s="229"/>
      <c r="K210" s="257"/>
      <c r="L210" s="186">
        <f t="shared" si="62"/>
        <v>0</v>
      </c>
      <c r="M210" s="156"/>
      <c r="N210" s="257"/>
      <c r="O210" s="186">
        <f t="shared" si="63"/>
        <v>0</v>
      </c>
      <c r="P210" s="239"/>
      <c r="Q210" s="256">
        <f t="shared" si="57"/>
        <v>0</v>
      </c>
    </row>
    <row r="211" spans="1:17" ht="12.75">
      <c r="A211" s="35" t="s">
        <v>189</v>
      </c>
      <c r="B211" s="60">
        <v>33160</v>
      </c>
      <c r="C211" s="100"/>
      <c r="D211" s="75"/>
      <c r="E211" s="75"/>
      <c r="F211" s="144">
        <f t="shared" si="60"/>
        <v>0</v>
      </c>
      <c r="G211" s="146">
        <f>263.8</f>
        <v>263.8</v>
      </c>
      <c r="H211" s="173"/>
      <c r="I211" s="186">
        <f t="shared" si="61"/>
        <v>263.8</v>
      </c>
      <c r="J211" s="229">
        <f>-119.77</f>
        <v>-119.77</v>
      </c>
      <c r="K211" s="257"/>
      <c r="L211" s="186">
        <f t="shared" si="62"/>
        <v>144.03000000000003</v>
      </c>
      <c r="M211" s="156">
        <f>175</f>
        <v>175</v>
      </c>
      <c r="N211" s="257"/>
      <c r="O211" s="186">
        <f t="shared" si="63"/>
        <v>319.03000000000003</v>
      </c>
      <c r="P211" s="239"/>
      <c r="Q211" s="256">
        <f t="shared" si="57"/>
        <v>319.03000000000003</v>
      </c>
    </row>
    <row r="212" spans="1:17" ht="12.75" hidden="1">
      <c r="A212" s="17" t="s">
        <v>152</v>
      </c>
      <c r="B212" s="60"/>
      <c r="C212" s="100"/>
      <c r="D212" s="75"/>
      <c r="E212" s="75"/>
      <c r="F212" s="144">
        <f t="shared" si="60"/>
        <v>0</v>
      </c>
      <c r="G212" s="146"/>
      <c r="H212" s="173"/>
      <c r="I212" s="186">
        <f t="shared" si="61"/>
        <v>0</v>
      </c>
      <c r="J212" s="229"/>
      <c r="K212" s="257"/>
      <c r="L212" s="186">
        <f t="shared" si="62"/>
        <v>0</v>
      </c>
      <c r="M212" s="156"/>
      <c r="N212" s="257"/>
      <c r="O212" s="186">
        <f t="shared" si="63"/>
        <v>0</v>
      </c>
      <c r="P212" s="239"/>
      <c r="Q212" s="256">
        <f t="shared" si="57"/>
        <v>0</v>
      </c>
    </row>
    <row r="213" spans="1:17" ht="12.75">
      <c r="A213" s="17" t="s">
        <v>401</v>
      </c>
      <c r="B213" s="60">
        <v>33065</v>
      </c>
      <c r="C213" s="100"/>
      <c r="D213" s="75"/>
      <c r="E213" s="75"/>
      <c r="F213" s="144">
        <f t="shared" si="60"/>
        <v>0</v>
      </c>
      <c r="G213" s="146"/>
      <c r="H213" s="173"/>
      <c r="I213" s="186">
        <f t="shared" si="61"/>
        <v>0</v>
      </c>
      <c r="J213" s="229"/>
      <c r="K213" s="257"/>
      <c r="L213" s="186">
        <f t="shared" si="62"/>
        <v>0</v>
      </c>
      <c r="M213" s="156">
        <v>498.72</v>
      </c>
      <c r="N213" s="257"/>
      <c r="O213" s="186">
        <f t="shared" si="63"/>
        <v>498.72</v>
      </c>
      <c r="P213" s="239"/>
      <c r="Q213" s="256">
        <f t="shared" si="57"/>
        <v>498.72</v>
      </c>
    </row>
    <row r="214" spans="1:17" ht="12.75">
      <c r="A214" s="17" t="s">
        <v>341</v>
      </c>
      <c r="B214" s="60">
        <v>33075</v>
      </c>
      <c r="C214" s="100"/>
      <c r="D214" s="75"/>
      <c r="E214" s="75"/>
      <c r="F214" s="144">
        <f t="shared" si="60"/>
        <v>0</v>
      </c>
      <c r="G214" s="146">
        <f>1562.86</f>
        <v>1562.86</v>
      </c>
      <c r="H214" s="173"/>
      <c r="I214" s="186">
        <f t="shared" si="61"/>
        <v>1562.86</v>
      </c>
      <c r="J214" s="229"/>
      <c r="K214" s="257"/>
      <c r="L214" s="186">
        <f t="shared" si="62"/>
        <v>1562.86</v>
      </c>
      <c r="M214" s="156"/>
      <c r="N214" s="257"/>
      <c r="O214" s="186">
        <f t="shared" si="63"/>
        <v>1562.86</v>
      </c>
      <c r="P214" s="239"/>
      <c r="Q214" s="256">
        <f t="shared" si="57"/>
        <v>1562.86</v>
      </c>
    </row>
    <row r="215" spans="1:17" ht="12.75" hidden="1">
      <c r="A215" s="17" t="s">
        <v>97</v>
      </c>
      <c r="B215" s="60">
        <v>33025</v>
      </c>
      <c r="C215" s="100"/>
      <c r="D215" s="75"/>
      <c r="E215" s="75"/>
      <c r="F215" s="144">
        <f t="shared" si="60"/>
        <v>0</v>
      </c>
      <c r="G215" s="146"/>
      <c r="H215" s="173"/>
      <c r="I215" s="186">
        <f t="shared" si="61"/>
        <v>0</v>
      </c>
      <c r="J215" s="229"/>
      <c r="K215" s="257"/>
      <c r="L215" s="186">
        <f t="shared" si="62"/>
        <v>0</v>
      </c>
      <c r="M215" s="156"/>
      <c r="N215" s="257"/>
      <c r="O215" s="186">
        <f t="shared" si="63"/>
        <v>0</v>
      </c>
      <c r="P215" s="239"/>
      <c r="Q215" s="256">
        <f t="shared" si="57"/>
        <v>0</v>
      </c>
    </row>
    <row r="216" spans="1:17" ht="12.75">
      <c r="A216" s="17" t="s">
        <v>173</v>
      </c>
      <c r="B216" s="60">
        <v>33038</v>
      </c>
      <c r="C216" s="100"/>
      <c r="D216" s="75"/>
      <c r="E216" s="75"/>
      <c r="F216" s="144">
        <f t="shared" si="60"/>
        <v>0</v>
      </c>
      <c r="G216" s="146">
        <f>1445.75</f>
        <v>1445.75</v>
      </c>
      <c r="H216" s="173"/>
      <c r="I216" s="186">
        <f t="shared" si="61"/>
        <v>1445.75</v>
      </c>
      <c r="J216" s="229"/>
      <c r="K216" s="257"/>
      <c r="L216" s="186">
        <f t="shared" si="62"/>
        <v>1445.75</v>
      </c>
      <c r="M216" s="156"/>
      <c r="N216" s="257"/>
      <c r="O216" s="186">
        <f t="shared" si="63"/>
        <v>1445.75</v>
      </c>
      <c r="P216" s="239"/>
      <c r="Q216" s="256">
        <f t="shared" si="57"/>
        <v>1445.75</v>
      </c>
    </row>
    <row r="217" spans="1:17" ht="12.75">
      <c r="A217" s="17" t="s">
        <v>393</v>
      </c>
      <c r="B217" s="60">
        <v>33034</v>
      </c>
      <c r="C217" s="100"/>
      <c r="D217" s="75"/>
      <c r="E217" s="75"/>
      <c r="F217" s="144"/>
      <c r="G217" s="146"/>
      <c r="H217" s="173"/>
      <c r="I217" s="186"/>
      <c r="J217" s="229"/>
      <c r="K217" s="257"/>
      <c r="L217" s="186"/>
      <c r="M217" s="156">
        <v>720.96</v>
      </c>
      <c r="N217" s="257"/>
      <c r="O217" s="186">
        <f t="shared" si="63"/>
        <v>720.96</v>
      </c>
      <c r="P217" s="239"/>
      <c r="Q217" s="256"/>
    </row>
    <row r="218" spans="1:17" ht="12.75">
      <c r="A218" s="17" t="s">
        <v>311</v>
      </c>
      <c r="B218" s="60">
        <v>33063</v>
      </c>
      <c r="C218" s="100"/>
      <c r="D218" s="75">
        <f>445.26+568.9+104.38+1500</f>
        <v>2618.54</v>
      </c>
      <c r="E218" s="75"/>
      <c r="F218" s="144">
        <f t="shared" si="60"/>
        <v>2618.54</v>
      </c>
      <c r="G218" s="146">
        <f>635.81+453.97</f>
        <v>1089.78</v>
      </c>
      <c r="H218" s="173"/>
      <c r="I218" s="186">
        <f t="shared" si="61"/>
        <v>3708.3199999999997</v>
      </c>
      <c r="J218" s="229">
        <f>1500+359.33</f>
        <v>1859.33</v>
      </c>
      <c r="K218" s="257"/>
      <c r="L218" s="186">
        <f t="shared" si="62"/>
        <v>5567.65</v>
      </c>
      <c r="M218" s="156">
        <f>2913.82+1079.25+3451.55+2224.79+3272.19+938.4+5307.5+1477.72+574.12+1363.92+1262.25+6908.45+2486.42+1430.24</f>
        <v>34690.62</v>
      </c>
      <c r="N218" s="257"/>
      <c r="O218" s="186">
        <f t="shared" si="63"/>
        <v>40258.270000000004</v>
      </c>
      <c r="P218" s="239"/>
      <c r="Q218" s="256">
        <f t="shared" si="57"/>
        <v>40258.270000000004</v>
      </c>
    </row>
    <row r="219" spans="1:17" ht="12.75">
      <c r="A219" s="17" t="s">
        <v>345</v>
      </c>
      <c r="B219" s="60">
        <v>13305</v>
      </c>
      <c r="C219" s="100"/>
      <c r="D219" s="75"/>
      <c r="E219" s="75"/>
      <c r="F219" s="144">
        <f t="shared" si="60"/>
        <v>0</v>
      </c>
      <c r="G219" s="146">
        <f>2088.99</f>
        <v>2088.99</v>
      </c>
      <c r="H219" s="173"/>
      <c r="I219" s="186">
        <f t="shared" si="61"/>
        <v>2088.99</v>
      </c>
      <c r="J219" s="229">
        <f>1392.66+731.35</f>
        <v>2124.01</v>
      </c>
      <c r="K219" s="257"/>
      <c r="L219" s="186">
        <f t="shared" si="62"/>
        <v>4213</v>
      </c>
      <c r="M219" s="156"/>
      <c r="N219" s="257"/>
      <c r="O219" s="186">
        <f t="shared" si="63"/>
        <v>4213</v>
      </c>
      <c r="P219" s="239"/>
      <c r="Q219" s="256">
        <f t="shared" si="57"/>
        <v>4213</v>
      </c>
    </row>
    <row r="220" spans="1:17" ht="12.75">
      <c r="A220" s="17" t="s">
        <v>352</v>
      </c>
      <c r="B220" s="60" t="s">
        <v>294</v>
      </c>
      <c r="C220" s="100"/>
      <c r="D220" s="75"/>
      <c r="E220" s="75"/>
      <c r="F220" s="144">
        <f t="shared" si="60"/>
        <v>0</v>
      </c>
      <c r="G220" s="146">
        <f>50.27+1581.16</f>
        <v>1631.43</v>
      </c>
      <c r="H220" s="173"/>
      <c r="I220" s="186">
        <f t="shared" si="61"/>
        <v>1631.43</v>
      </c>
      <c r="J220" s="229"/>
      <c r="K220" s="257"/>
      <c r="L220" s="186">
        <f t="shared" si="62"/>
        <v>1631.43</v>
      </c>
      <c r="M220" s="156"/>
      <c r="N220" s="257"/>
      <c r="O220" s="186">
        <f t="shared" si="63"/>
        <v>1631.43</v>
      </c>
      <c r="P220" s="239"/>
      <c r="Q220" s="256">
        <f t="shared" si="57"/>
        <v>1631.43</v>
      </c>
    </row>
    <row r="221" spans="1:17" ht="12.75">
      <c r="A221" s="17" t="s">
        <v>351</v>
      </c>
      <c r="B221" s="60" t="s">
        <v>294</v>
      </c>
      <c r="C221" s="100"/>
      <c r="D221" s="75"/>
      <c r="E221" s="75"/>
      <c r="F221" s="144">
        <f t="shared" si="60"/>
        <v>0</v>
      </c>
      <c r="G221" s="146">
        <f>9.02+269.32</f>
        <v>278.34</v>
      </c>
      <c r="H221" s="173"/>
      <c r="I221" s="186">
        <f t="shared" si="61"/>
        <v>278.34</v>
      </c>
      <c r="J221" s="229"/>
      <c r="K221" s="257"/>
      <c r="L221" s="186">
        <f t="shared" si="62"/>
        <v>278.34</v>
      </c>
      <c r="M221" s="156"/>
      <c r="N221" s="257"/>
      <c r="O221" s="186">
        <f t="shared" si="63"/>
        <v>278.34</v>
      </c>
      <c r="P221" s="239"/>
      <c r="Q221" s="256">
        <f t="shared" si="57"/>
        <v>278.34</v>
      </c>
    </row>
    <row r="222" spans="1:17" ht="12.75">
      <c r="A222" s="17" t="s">
        <v>354</v>
      </c>
      <c r="B222" s="60">
        <v>17016</v>
      </c>
      <c r="C222" s="100"/>
      <c r="D222" s="75"/>
      <c r="E222" s="75"/>
      <c r="F222" s="144">
        <f t="shared" si="60"/>
        <v>0</v>
      </c>
      <c r="G222" s="146">
        <f>319.36</f>
        <v>319.36</v>
      </c>
      <c r="H222" s="173"/>
      <c r="I222" s="186">
        <f t="shared" si="61"/>
        <v>319.36</v>
      </c>
      <c r="J222" s="229"/>
      <c r="K222" s="257"/>
      <c r="L222" s="186">
        <f t="shared" si="62"/>
        <v>319.36</v>
      </c>
      <c r="M222" s="156"/>
      <c r="N222" s="257"/>
      <c r="O222" s="186">
        <f t="shared" si="63"/>
        <v>319.36</v>
      </c>
      <c r="P222" s="239"/>
      <c r="Q222" s="256">
        <f t="shared" si="57"/>
        <v>319.36</v>
      </c>
    </row>
    <row r="223" spans="1:17" ht="12.75">
      <c r="A223" s="17" t="s">
        <v>304</v>
      </c>
      <c r="B223" s="60">
        <v>2054</v>
      </c>
      <c r="C223" s="100"/>
      <c r="D223" s="75">
        <f>858.66</f>
        <v>858.66</v>
      </c>
      <c r="E223" s="75"/>
      <c r="F223" s="144">
        <f t="shared" si="60"/>
        <v>858.66</v>
      </c>
      <c r="G223" s="146"/>
      <c r="H223" s="173"/>
      <c r="I223" s="186">
        <f t="shared" si="61"/>
        <v>858.66</v>
      </c>
      <c r="J223" s="229"/>
      <c r="K223" s="257"/>
      <c r="L223" s="186">
        <f t="shared" si="62"/>
        <v>858.66</v>
      </c>
      <c r="M223" s="156"/>
      <c r="N223" s="257"/>
      <c r="O223" s="186">
        <f t="shared" si="63"/>
        <v>858.66</v>
      </c>
      <c r="P223" s="239"/>
      <c r="Q223" s="256">
        <f t="shared" si="57"/>
        <v>858.66</v>
      </c>
    </row>
    <row r="224" spans="1:17" ht="12.75">
      <c r="A224" s="17" t="s">
        <v>365</v>
      </c>
      <c r="B224" s="60"/>
      <c r="C224" s="100"/>
      <c r="D224" s="75"/>
      <c r="E224" s="75"/>
      <c r="F224" s="144"/>
      <c r="G224" s="146"/>
      <c r="H224" s="173"/>
      <c r="I224" s="186">
        <f t="shared" si="61"/>
        <v>0</v>
      </c>
      <c r="J224" s="229">
        <f>3028.27</f>
        <v>3028.27</v>
      </c>
      <c r="K224" s="257"/>
      <c r="L224" s="186">
        <f t="shared" si="62"/>
        <v>3028.27</v>
      </c>
      <c r="M224" s="156">
        <v>1744.74</v>
      </c>
      <c r="N224" s="257"/>
      <c r="O224" s="186">
        <f t="shared" si="63"/>
        <v>4773.01</v>
      </c>
      <c r="P224" s="239"/>
      <c r="Q224" s="256">
        <f t="shared" si="57"/>
        <v>4773.01</v>
      </c>
    </row>
    <row r="225" spans="1:17" ht="12.75">
      <c r="A225" s="17" t="s">
        <v>305</v>
      </c>
      <c r="B225" s="60">
        <v>2066</v>
      </c>
      <c r="C225" s="100"/>
      <c r="D225" s="75">
        <f>15.79</f>
        <v>15.79</v>
      </c>
      <c r="E225" s="75"/>
      <c r="F225" s="144">
        <f t="shared" si="60"/>
        <v>15.79</v>
      </c>
      <c r="G225" s="146"/>
      <c r="H225" s="173"/>
      <c r="I225" s="186">
        <f t="shared" si="61"/>
        <v>15.79</v>
      </c>
      <c r="J225" s="229"/>
      <c r="K225" s="257"/>
      <c r="L225" s="186">
        <f t="shared" si="62"/>
        <v>15.79</v>
      </c>
      <c r="M225" s="156"/>
      <c r="N225" s="257"/>
      <c r="O225" s="186">
        <f t="shared" si="63"/>
        <v>15.79</v>
      </c>
      <c r="P225" s="239"/>
      <c r="Q225" s="256">
        <f t="shared" si="57"/>
        <v>15.79</v>
      </c>
    </row>
    <row r="226" spans="1:17" ht="12.75">
      <c r="A226" s="17" t="s">
        <v>322</v>
      </c>
      <c r="B226" s="60"/>
      <c r="C226" s="100"/>
      <c r="D226" s="75">
        <f>17100</f>
        <v>17100</v>
      </c>
      <c r="E226" s="75"/>
      <c r="F226" s="144">
        <f t="shared" si="60"/>
        <v>17100</v>
      </c>
      <c r="G226" s="146"/>
      <c r="H226" s="173"/>
      <c r="I226" s="186">
        <f t="shared" si="61"/>
        <v>17100</v>
      </c>
      <c r="J226" s="229">
        <f>14019.33</f>
        <v>14019.33</v>
      </c>
      <c r="K226" s="257"/>
      <c r="L226" s="186">
        <f t="shared" si="62"/>
        <v>31119.33</v>
      </c>
      <c r="M226" s="156"/>
      <c r="N226" s="257"/>
      <c r="O226" s="186">
        <f t="shared" si="63"/>
        <v>31119.33</v>
      </c>
      <c r="P226" s="239"/>
      <c r="Q226" s="256">
        <f t="shared" si="57"/>
        <v>31119.33</v>
      </c>
    </row>
    <row r="227" spans="1:17" ht="12.75">
      <c r="A227" s="35" t="s">
        <v>348</v>
      </c>
      <c r="B227" s="60">
        <v>29331</v>
      </c>
      <c r="C227" s="100"/>
      <c r="D227" s="75"/>
      <c r="E227" s="75"/>
      <c r="F227" s="144">
        <f t="shared" si="60"/>
        <v>0</v>
      </c>
      <c r="G227" s="146">
        <f>66.06</f>
        <v>66.06</v>
      </c>
      <c r="H227" s="173"/>
      <c r="I227" s="186">
        <f t="shared" si="61"/>
        <v>66.06</v>
      </c>
      <c r="J227" s="229">
        <f>250.58</f>
        <v>250.58</v>
      </c>
      <c r="K227" s="257"/>
      <c r="L227" s="186">
        <f t="shared" si="62"/>
        <v>316.64</v>
      </c>
      <c r="M227" s="156"/>
      <c r="N227" s="257"/>
      <c r="O227" s="186">
        <f t="shared" si="63"/>
        <v>316.64</v>
      </c>
      <c r="P227" s="239"/>
      <c r="Q227" s="256">
        <f t="shared" si="57"/>
        <v>316.64</v>
      </c>
    </row>
    <row r="228" spans="1:17" ht="12.75">
      <c r="A228" s="17" t="s">
        <v>377</v>
      </c>
      <c r="B228" s="60">
        <v>34002</v>
      </c>
      <c r="C228" s="100"/>
      <c r="D228" s="75"/>
      <c r="E228" s="75"/>
      <c r="F228" s="144"/>
      <c r="G228" s="146"/>
      <c r="H228" s="173"/>
      <c r="I228" s="186">
        <f t="shared" si="61"/>
        <v>0</v>
      </c>
      <c r="J228" s="229">
        <f>91</f>
        <v>91</v>
      </c>
      <c r="K228" s="257"/>
      <c r="L228" s="186">
        <f t="shared" si="62"/>
        <v>91</v>
      </c>
      <c r="M228" s="156"/>
      <c r="N228" s="257"/>
      <c r="O228" s="186">
        <f t="shared" si="63"/>
        <v>91</v>
      </c>
      <c r="P228" s="239"/>
      <c r="Q228" s="256">
        <f t="shared" si="57"/>
        <v>91</v>
      </c>
    </row>
    <row r="229" spans="1:17" ht="12.75">
      <c r="A229" s="17" t="s">
        <v>86</v>
      </c>
      <c r="B229" s="137" t="s">
        <v>290</v>
      </c>
      <c r="C229" s="100"/>
      <c r="D229" s="75">
        <f>2247.75+3424.25+643.14+7183.85</f>
        <v>13498.990000000002</v>
      </c>
      <c r="E229" s="75"/>
      <c r="F229" s="144">
        <f t="shared" si="60"/>
        <v>13498.990000000002</v>
      </c>
      <c r="G229" s="146">
        <f>1130-6664+1443.92+88.5+1912.52</f>
        <v>-2089.06</v>
      </c>
      <c r="H229" s="173"/>
      <c r="I229" s="186">
        <f t="shared" si="61"/>
        <v>11409.930000000002</v>
      </c>
      <c r="J229" s="229">
        <f>-88.5</f>
        <v>-88.5</v>
      </c>
      <c r="K229" s="257"/>
      <c r="L229" s="186">
        <f t="shared" si="62"/>
        <v>11321.430000000002</v>
      </c>
      <c r="M229" s="264"/>
      <c r="N229" s="257"/>
      <c r="O229" s="186">
        <f t="shared" si="63"/>
        <v>11321.430000000002</v>
      </c>
      <c r="P229" s="239"/>
      <c r="Q229" s="256">
        <f t="shared" si="57"/>
        <v>11321.430000000002</v>
      </c>
    </row>
    <row r="230" spans="1:17" ht="12.75">
      <c r="A230" s="17" t="s">
        <v>57</v>
      </c>
      <c r="B230" s="60"/>
      <c r="C230" s="100">
        <v>29169.68</v>
      </c>
      <c r="D230" s="75">
        <f>830.69+17566-16380.88</f>
        <v>2015.8099999999995</v>
      </c>
      <c r="E230" s="75"/>
      <c r="F230" s="144">
        <f t="shared" si="60"/>
        <v>31185.489999999998</v>
      </c>
      <c r="G230" s="146">
        <f>-14542.4+500</f>
        <v>-14042.4</v>
      </c>
      <c r="H230" s="173"/>
      <c r="I230" s="186">
        <f t="shared" si="61"/>
        <v>17143.089999999997</v>
      </c>
      <c r="J230" s="229">
        <f>79.35-2332.95+1500</f>
        <v>-753.5999999999999</v>
      </c>
      <c r="K230" s="257"/>
      <c r="L230" s="186">
        <f t="shared" si="62"/>
        <v>16389.489999999998</v>
      </c>
      <c r="M230" s="264">
        <f>-13661.07+400-68.22</f>
        <v>-13329.289999999999</v>
      </c>
      <c r="N230" s="257"/>
      <c r="O230" s="186">
        <f t="shared" si="63"/>
        <v>3060.199999999999</v>
      </c>
      <c r="P230" s="239"/>
      <c r="Q230" s="256">
        <f t="shared" si="57"/>
        <v>3060.199999999999</v>
      </c>
    </row>
    <row r="231" spans="1:17" ht="12.75">
      <c r="A231" s="20" t="s">
        <v>60</v>
      </c>
      <c r="B231" s="64"/>
      <c r="C231" s="119">
        <f>SUM(C233:C240)</f>
        <v>555</v>
      </c>
      <c r="D231" s="80">
        <f aca="true" t="shared" si="64" ref="D231:Q231">SUM(D233:D240)</f>
        <v>4265.56</v>
      </c>
      <c r="E231" s="80">
        <f t="shared" si="64"/>
        <v>0</v>
      </c>
      <c r="F231" s="207">
        <f t="shared" si="64"/>
        <v>4820.56</v>
      </c>
      <c r="G231" s="151">
        <f t="shared" si="64"/>
        <v>6095.08</v>
      </c>
      <c r="H231" s="177">
        <f t="shared" si="64"/>
        <v>0</v>
      </c>
      <c r="I231" s="190">
        <f t="shared" si="64"/>
        <v>10915.64</v>
      </c>
      <c r="J231" s="244">
        <f t="shared" si="64"/>
        <v>204.5</v>
      </c>
      <c r="K231" s="281">
        <f t="shared" si="64"/>
        <v>0</v>
      </c>
      <c r="L231" s="190">
        <f t="shared" si="64"/>
        <v>11120.14</v>
      </c>
      <c r="M231" s="299">
        <f t="shared" si="64"/>
        <v>1650</v>
      </c>
      <c r="N231" s="281">
        <f t="shared" si="64"/>
        <v>0</v>
      </c>
      <c r="O231" s="190">
        <f t="shared" si="64"/>
        <v>12770.14</v>
      </c>
      <c r="P231" s="244">
        <f t="shared" si="64"/>
        <v>0</v>
      </c>
      <c r="Q231" s="225">
        <f t="shared" si="64"/>
        <v>12770.14</v>
      </c>
    </row>
    <row r="232" spans="1:17" ht="12.75">
      <c r="A232" s="15" t="s">
        <v>27</v>
      </c>
      <c r="B232" s="60"/>
      <c r="C232" s="100"/>
      <c r="D232" s="75"/>
      <c r="E232" s="75"/>
      <c r="F232" s="144"/>
      <c r="G232" s="146"/>
      <c r="H232" s="173"/>
      <c r="I232" s="185"/>
      <c r="J232" s="229"/>
      <c r="K232" s="257"/>
      <c r="L232" s="185"/>
      <c r="M232" s="156"/>
      <c r="N232" s="257"/>
      <c r="O232" s="185"/>
      <c r="P232" s="239"/>
      <c r="Q232" s="256"/>
    </row>
    <row r="233" spans="1:17" ht="12.75">
      <c r="A233" s="17" t="s">
        <v>98</v>
      </c>
      <c r="B233" s="60"/>
      <c r="C233" s="100">
        <v>555</v>
      </c>
      <c r="D233" s="75">
        <f>434+662.8</f>
        <v>1096.8</v>
      </c>
      <c r="E233" s="75"/>
      <c r="F233" s="144">
        <f aca="true" t="shared" si="65" ref="F233:F240">C233+D233+E233</f>
        <v>1651.8</v>
      </c>
      <c r="G233" s="146">
        <f>190+15</f>
        <v>205</v>
      </c>
      <c r="H233" s="173"/>
      <c r="I233" s="186">
        <f aca="true" t="shared" si="66" ref="I233:I240">F233+G233+H233</f>
        <v>1856.8</v>
      </c>
      <c r="J233" s="229"/>
      <c r="K233" s="257"/>
      <c r="L233" s="186">
        <f aca="true" t="shared" si="67" ref="L233:L240">I233+J233+K233</f>
        <v>1856.8</v>
      </c>
      <c r="M233" s="156">
        <f>400+1250</f>
        <v>1650</v>
      </c>
      <c r="N233" s="257"/>
      <c r="O233" s="186">
        <f aca="true" t="shared" si="68" ref="O233:O240">L233+M233+N233</f>
        <v>3506.8</v>
      </c>
      <c r="P233" s="239"/>
      <c r="Q233" s="256">
        <f t="shared" si="57"/>
        <v>3506.8</v>
      </c>
    </row>
    <row r="234" spans="1:17" ht="12.75" hidden="1">
      <c r="A234" s="17" t="s">
        <v>293</v>
      </c>
      <c r="B234" s="60" t="s">
        <v>295</v>
      </c>
      <c r="C234" s="100"/>
      <c r="D234" s="75"/>
      <c r="E234" s="75"/>
      <c r="F234" s="144">
        <f t="shared" si="65"/>
        <v>0</v>
      </c>
      <c r="G234" s="146"/>
      <c r="H234" s="173"/>
      <c r="I234" s="186">
        <f t="shared" si="66"/>
        <v>0</v>
      </c>
      <c r="J234" s="229"/>
      <c r="K234" s="257"/>
      <c r="L234" s="186">
        <f t="shared" si="67"/>
        <v>0</v>
      </c>
      <c r="M234" s="156"/>
      <c r="N234" s="257"/>
      <c r="O234" s="186">
        <f t="shared" si="68"/>
        <v>0</v>
      </c>
      <c r="P234" s="239"/>
      <c r="Q234" s="256">
        <f t="shared" si="57"/>
        <v>0</v>
      </c>
    </row>
    <row r="235" spans="1:17" ht="12.75">
      <c r="A235" s="17" t="s">
        <v>354</v>
      </c>
      <c r="B235" s="60">
        <v>17969</v>
      </c>
      <c r="C235" s="100"/>
      <c r="D235" s="75"/>
      <c r="E235" s="75"/>
      <c r="F235" s="144">
        <f t="shared" si="65"/>
        <v>0</v>
      </c>
      <c r="G235" s="146">
        <f>758.5</f>
        <v>758.5</v>
      </c>
      <c r="H235" s="173"/>
      <c r="I235" s="186">
        <f t="shared" si="66"/>
        <v>758.5</v>
      </c>
      <c r="J235" s="229"/>
      <c r="K235" s="257"/>
      <c r="L235" s="186">
        <f t="shared" si="67"/>
        <v>758.5</v>
      </c>
      <c r="M235" s="156"/>
      <c r="N235" s="257"/>
      <c r="O235" s="186">
        <f t="shared" si="68"/>
        <v>758.5</v>
      </c>
      <c r="P235" s="239"/>
      <c r="Q235" s="256">
        <f t="shared" si="57"/>
        <v>758.5</v>
      </c>
    </row>
    <row r="236" spans="1:17" ht="12.75">
      <c r="A236" s="17" t="s">
        <v>322</v>
      </c>
      <c r="B236" s="60">
        <v>2066</v>
      </c>
      <c r="C236" s="100"/>
      <c r="D236" s="75">
        <f>3015.83</f>
        <v>3015.83</v>
      </c>
      <c r="E236" s="75"/>
      <c r="F236" s="144">
        <f t="shared" si="65"/>
        <v>3015.83</v>
      </c>
      <c r="G236" s="146">
        <f>-1443.92</f>
        <v>-1443.92</v>
      </c>
      <c r="H236" s="173"/>
      <c r="I236" s="186">
        <f t="shared" si="66"/>
        <v>1571.9099999999999</v>
      </c>
      <c r="J236" s="229">
        <f>72.19</f>
        <v>72.19</v>
      </c>
      <c r="K236" s="257"/>
      <c r="L236" s="186">
        <f t="shared" si="67"/>
        <v>1644.1</v>
      </c>
      <c r="M236" s="156"/>
      <c r="N236" s="257"/>
      <c r="O236" s="186">
        <f t="shared" si="68"/>
        <v>1644.1</v>
      </c>
      <c r="P236" s="239"/>
      <c r="Q236" s="256">
        <f t="shared" si="57"/>
        <v>1644.1</v>
      </c>
    </row>
    <row r="237" spans="1:17" ht="12.75" hidden="1">
      <c r="A237" s="17" t="s">
        <v>75</v>
      </c>
      <c r="B237" s="60"/>
      <c r="C237" s="100"/>
      <c r="D237" s="75"/>
      <c r="E237" s="75"/>
      <c r="F237" s="144">
        <f t="shared" si="65"/>
        <v>0</v>
      </c>
      <c r="G237" s="146"/>
      <c r="H237" s="173"/>
      <c r="I237" s="186">
        <f t="shared" si="66"/>
        <v>0</v>
      </c>
      <c r="J237" s="229"/>
      <c r="K237" s="257"/>
      <c r="L237" s="186">
        <f t="shared" si="67"/>
        <v>0</v>
      </c>
      <c r="M237" s="156"/>
      <c r="N237" s="257"/>
      <c r="O237" s="186">
        <f t="shared" si="68"/>
        <v>0</v>
      </c>
      <c r="P237" s="239"/>
      <c r="Q237" s="256">
        <f t="shared" si="57"/>
        <v>0</v>
      </c>
    </row>
    <row r="238" spans="1:17" ht="12.75">
      <c r="A238" s="35" t="s">
        <v>367</v>
      </c>
      <c r="B238" s="60"/>
      <c r="C238" s="100"/>
      <c r="D238" s="75"/>
      <c r="E238" s="75"/>
      <c r="F238" s="144">
        <f t="shared" si="65"/>
        <v>0</v>
      </c>
      <c r="G238" s="146"/>
      <c r="H238" s="173"/>
      <c r="I238" s="186">
        <f t="shared" si="66"/>
        <v>0</v>
      </c>
      <c r="J238" s="229">
        <f>116</f>
        <v>116</v>
      </c>
      <c r="K238" s="257"/>
      <c r="L238" s="186">
        <f t="shared" si="67"/>
        <v>116</v>
      </c>
      <c r="M238" s="156"/>
      <c r="N238" s="257"/>
      <c r="O238" s="186">
        <f t="shared" si="68"/>
        <v>116</v>
      </c>
      <c r="P238" s="239"/>
      <c r="Q238" s="256">
        <f t="shared" si="57"/>
        <v>116</v>
      </c>
    </row>
    <row r="239" spans="1:17" ht="12.75" hidden="1">
      <c r="A239" s="17" t="s">
        <v>61</v>
      </c>
      <c r="B239" s="60"/>
      <c r="C239" s="100"/>
      <c r="D239" s="75"/>
      <c r="E239" s="75"/>
      <c r="F239" s="144">
        <f t="shared" si="65"/>
        <v>0</v>
      </c>
      <c r="G239" s="146"/>
      <c r="H239" s="173"/>
      <c r="I239" s="186">
        <f t="shared" si="66"/>
        <v>0</v>
      </c>
      <c r="J239" s="229"/>
      <c r="K239" s="282"/>
      <c r="L239" s="186">
        <f t="shared" si="67"/>
        <v>0</v>
      </c>
      <c r="M239" s="156"/>
      <c r="N239" s="257"/>
      <c r="O239" s="186">
        <f t="shared" si="68"/>
        <v>0</v>
      </c>
      <c r="P239" s="239"/>
      <c r="Q239" s="256">
        <f t="shared" si="57"/>
        <v>0</v>
      </c>
    </row>
    <row r="240" spans="1:17" ht="12.75">
      <c r="A240" s="24" t="s">
        <v>86</v>
      </c>
      <c r="B240" s="63"/>
      <c r="C240" s="118"/>
      <c r="D240" s="79">
        <f>152.93</f>
        <v>152.93</v>
      </c>
      <c r="E240" s="79"/>
      <c r="F240" s="97">
        <f t="shared" si="65"/>
        <v>152.93</v>
      </c>
      <c r="G240" s="152">
        <f>6664-88.5</f>
        <v>6575.5</v>
      </c>
      <c r="H240" s="178"/>
      <c r="I240" s="191">
        <f t="shared" si="66"/>
        <v>6728.43</v>
      </c>
      <c r="J240" s="245">
        <f>88.5-72.19</f>
        <v>16.310000000000002</v>
      </c>
      <c r="K240" s="283"/>
      <c r="L240" s="191">
        <f t="shared" si="67"/>
        <v>6744.740000000001</v>
      </c>
      <c r="M240" s="300"/>
      <c r="N240" s="261"/>
      <c r="O240" s="191">
        <f t="shared" si="68"/>
        <v>6744.740000000001</v>
      </c>
      <c r="P240" s="262"/>
      <c r="Q240" s="263">
        <f t="shared" si="57"/>
        <v>6744.740000000001</v>
      </c>
    </row>
    <row r="241" spans="1:17" ht="12.75">
      <c r="A241" s="10" t="s">
        <v>99</v>
      </c>
      <c r="B241" s="64"/>
      <c r="C241" s="105">
        <f aca="true" t="shared" si="69" ref="C241:Q241">C242+C257</f>
        <v>563855.9999999999</v>
      </c>
      <c r="D241" s="74">
        <f t="shared" si="69"/>
        <v>30144.68</v>
      </c>
      <c r="E241" s="74">
        <f t="shared" si="69"/>
        <v>0</v>
      </c>
      <c r="F241" s="204">
        <f t="shared" si="69"/>
        <v>594000.6799999999</v>
      </c>
      <c r="G241" s="145">
        <f t="shared" si="69"/>
        <v>63214.65</v>
      </c>
      <c r="H241" s="172">
        <f t="shared" si="69"/>
        <v>0</v>
      </c>
      <c r="I241" s="185">
        <f t="shared" si="69"/>
        <v>657215.3299999998</v>
      </c>
      <c r="J241" s="238">
        <f t="shared" si="69"/>
        <v>4476.83</v>
      </c>
      <c r="K241" s="255">
        <f t="shared" si="69"/>
        <v>0</v>
      </c>
      <c r="L241" s="185">
        <f t="shared" si="69"/>
        <v>661692.1599999998</v>
      </c>
      <c r="M241" s="254">
        <f t="shared" si="69"/>
        <v>11234.869999999999</v>
      </c>
      <c r="N241" s="255">
        <f t="shared" si="69"/>
        <v>0</v>
      </c>
      <c r="O241" s="185">
        <f t="shared" si="69"/>
        <v>672927.0299999998</v>
      </c>
      <c r="P241" s="238">
        <f t="shared" si="69"/>
        <v>0</v>
      </c>
      <c r="Q241" s="221">
        <f t="shared" si="69"/>
        <v>671922.6299999998</v>
      </c>
    </row>
    <row r="242" spans="1:17" ht="12.75">
      <c r="A242" s="19" t="s">
        <v>55</v>
      </c>
      <c r="B242" s="64"/>
      <c r="C242" s="117">
        <f aca="true" t="shared" si="70" ref="C242:Q242">SUM(C244:C256)</f>
        <v>563585.9999999999</v>
      </c>
      <c r="D242" s="78">
        <f t="shared" si="70"/>
        <v>30214.68</v>
      </c>
      <c r="E242" s="78">
        <f t="shared" si="70"/>
        <v>0</v>
      </c>
      <c r="F242" s="206">
        <f t="shared" si="70"/>
        <v>593800.6799999999</v>
      </c>
      <c r="G242" s="150">
        <f t="shared" si="70"/>
        <v>61214.65</v>
      </c>
      <c r="H242" s="176">
        <f t="shared" si="70"/>
        <v>0</v>
      </c>
      <c r="I242" s="189">
        <f t="shared" si="70"/>
        <v>655015.3299999998</v>
      </c>
      <c r="J242" s="243">
        <f t="shared" si="70"/>
        <v>476.8299999999999</v>
      </c>
      <c r="K242" s="280">
        <f t="shared" si="70"/>
        <v>0</v>
      </c>
      <c r="L242" s="189">
        <f t="shared" si="70"/>
        <v>655492.1599999998</v>
      </c>
      <c r="M242" s="298">
        <f t="shared" si="70"/>
        <v>7104.4</v>
      </c>
      <c r="N242" s="280">
        <f t="shared" si="70"/>
        <v>-10085</v>
      </c>
      <c r="O242" s="189">
        <f t="shared" si="70"/>
        <v>652511.5599999998</v>
      </c>
      <c r="P242" s="243">
        <f t="shared" si="70"/>
        <v>0</v>
      </c>
      <c r="Q242" s="224">
        <f t="shared" si="70"/>
        <v>651507.1599999998</v>
      </c>
    </row>
    <row r="243" spans="1:17" ht="12.75">
      <c r="A243" s="15" t="s">
        <v>27</v>
      </c>
      <c r="B243" s="60"/>
      <c r="C243" s="100"/>
      <c r="D243" s="75"/>
      <c r="E243" s="75"/>
      <c r="F243" s="204"/>
      <c r="G243" s="146"/>
      <c r="H243" s="173"/>
      <c r="I243" s="185"/>
      <c r="J243" s="229"/>
      <c r="K243" s="257"/>
      <c r="L243" s="185"/>
      <c r="M243" s="156"/>
      <c r="N243" s="257"/>
      <c r="O243" s="185"/>
      <c r="P243" s="239"/>
      <c r="Q243" s="256"/>
    </row>
    <row r="244" spans="1:17" ht="12.75">
      <c r="A244" s="12" t="s">
        <v>83</v>
      </c>
      <c r="B244" s="60"/>
      <c r="C244" s="100">
        <v>278140.66</v>
      </c>
      <c r="D244" s="75"/>
      <c r="E244" s="75"/>
      <c r="F244" s="144">
        <f aca="true" t="shared" si="71" ref="F244:F256">C244+D244+E244</f>
        <v>278140.66</v>
      </c>
      <c r="G244" s="146">
        <f>2102.02</f>
        <v>2102.02</v>
      </c>
      <c r="H244" s="173"/>
      <c r="I244" s="186">
        <f aca="true" t="shared" si="72" ref="I244:I256">F244+G244+H244</f>
        <v>280242.68</v>
      </c>
      <c r="J244" s="229"/>
      <c r="K244" s="257"/>
      <c r="L244" s="186">
        <f aca="true" t="shared" si="73" ref="L244:L256">I244+J244+K244</f>
        <v>280242.68</v>
      </c>
      <c r="M244" s="156"/>
      <c r="N244" s="257">
        <v>-12960</v>
      </c>
      <c r="O244" s="186">
        <f aca="true" t="shared" si="74" ref="O244:O256">L244+M244+N244</f>
        <v>267282.68</v>
      </c>
      <c r="P244" s="239"/>
      <c r="Q244" s="256">
        <f>O244+P244</f>
        <v>267282.68</v>
      </c>
    </row>
    <row r="245" spans="1:17" ht="12.75">
      <c r="A245" s="61" t="s">
        <v>225</v>
      </c>
      <c r="B245" s="60"/>
      <c r="C245" s="100">
        <v>35000</v>
      </c>
      <c r="D245" s="75">
        <f>16021.5</f>
        <v>16021.5</v>
      </c>
      <c r="E245" s="75"/>
      <c r="F245" s="144">
        <f t="shared" si="71"/>
        <v>51021.5</v>
      </c>
      <c r="G245" s="146">
        <f>-2102.02-2000</f>
        <v>-4102.02</v>
      </c>
      <c r="H245" s="173"/>
      <c r="I245" s="186">
        <f t="shared" si="72"/>
        <v>46919.479999999996</v>
      </c>
      <c r="J245" s="229">
        <f>-4000-17500</f>
        <v>-21500</v>
      </c>
      <c r="K245" s="257"/>
      <c r="L245" s="186">
        <f t="shared" si="73"/>
        <v>25419.479999999996</v>
      </c>
      <c r="M245" s="156"/>
      <c r="N245" s="257">
        <v>2875</v>
      </c>
      <c r="O245" s="186">
        <f t="shared" si="74"/>
        <v>28294.479999999996</v>
      </c>
      <c r="P245" s="239"/>
      <c r="Q245" s="256">
        <f aca="true" t="shared" si="75" ref="Q245:Q255">O245+P245</f>
        <v>28294.479999999996</v>
      </c>
    </row>
    <row r="246" spans="1:17" ht="12.75">
      <c r="A246" s="17" t="s">
        <v>70</v>
      </c>
      <c r="B246" s="60"/>
      <c r="C246" s="100">
        <v>140000</v>
      </c>
      <c r="D246" s="75"/>
      <c r="E246" s="75"/>
      <c r="F246" s="144">
        <f t="shared" si="71"/>
        <v>140000</v>
      </c>
      <c r="G246" s="146">
        <f>56482.75</f>
        <v>56482.75</v>
      </c>
      <c r="H246" s="173"/>
      <c r="I246" s="186">
        <f t="shared" si="72"/>
        <v>196482.75</v>
      </c>
      <c r="J246" s="229"/>
      <c r="K246" s="257"/>
      <c r="L246" s="186">
        <f t="shared" si="73"/>
        <v>196482.75</v>
      </c>
      <c r="M246" s="156">
        <f>84000+6100</f>
        <v>90100</v>
      </c>
      <c r="N246" s="257"/>
      <c r="O246" s="186">
        <f t="shared" si="74"/>
        <v>286582.75</v>
      </c>
      <c r="P246" s="239"/>
      <c r="Q246" s="256">
        <f t="shared" si="75"/>
        <v>286582.75</v>
      </c>
    </row>
    <row r="247" spans="1:17" ht="12.75">
      <c r="A247" s="17" t="s">
        <v>183</v>
      </c>
      <c r="B247" s="60"/>
      <c r="C247" s="100">
        <v>84000</v>
      </c>
      <c r="D247" s="81"/>
      <c r="E247" s="75"/>
      <c r="F247" s="144">
        <f t="shared" si="71"/>
        <v>84000</v>
      </c>
      <c r="G247" s="146"/>
      <c r="H247" s="173"/>
      <c r="I247" s="186">
        <f t="shared" si="72"/>
        <v>84000</v>
      </c>
      <c r="J247" s="229"/>
      <c r="K247" s="257"/>
      <c r="L247" s="186">
        <f t="shared" si="73"/>
        <v>84000</v>
      </c>
      <c r="M247" s="156">
        <v>-84000</v>
      </c>
      <c r="N247" s="257"/>
      <c r="O247" s="186">
        <f t="shared" si="74"/>
        <v>0</v>
      </c>
      <c r="P247" s="239"/>
      <c r="Q247" s="256">
        <f t="shared" si="75"/>
        <v>0</v>
      </c>
    </row>
    <row r="248" spans="1:17" ht="12.75">
      <c r="A248" s="17" t="s">
        <v>57</v>
      </c>
      <c r="B248" s="60"/>
      <c r="C248" s="101">
        <v>26445.34</v>
      </c>
      <c r="D248" s="75">
        <f>10799+70+967</f>
        <v>11836</v>
      </c>
      <c r="E248" s="75"/>
      <c r="F248" s="144">
        <f t="shared" si="71"/>
        <v>38281.34</v>
      </c>
      <c r="G248" s="146"/>
      <c r="H248" s="173"/>
      <c r="I248" s="186">
        <f t="shared" si="72"/>
        <v>38281.34</v>
      </c>
      <c r="J248" s="229"/>
      <c r="K248" s="257"/>
      <c r="L248" s="186">
        <f t="shared" si="73"/>
        <v>38281.34</v>
      </c>
      <c r="M248" s="156"/>
      <c r="N248" s="257"/>
      <c r="O248" s="186">
        <f t="shared" si="74"/>
        <v>38281.34</v>
      </c>
      <c r="P248" s="239"/>
      <c r="Q248" s="256">
        <f t="shared" si="75"/>
        <v>38281.34</v>
      </c>
    </row>
    <row r="249" spans="1:17" ht="12.75">
      <c r="A249" s="17" t="s">
        <v>87</v>
      </c>
      <c r="B249" s="60"/>
      <c r="C249" s="101"/>
      <c r="D249" s="75"/>
      <c r="E249" s="75"/>
      <c r="F249" s="144">
        <f t="shared" si="71"/>
        <v>0</v>
      </c>
      <c r="G249" s="146"/>
      <c r="H249" s="173"/>
      <c r="I249" s="186">
        <f t="shared" si="72"/>
        <v>0</v>
      </c>
      <c r="J249" s="229">
        <f>7500</f>
        <v>7500</v>
      </c>
      <c r="K249" s="257"/>
      <c r="L249" s="186">
        <f t="shared" si="73"/>
        <v>7500</v>
      </c>
      <c r="M249" s="156"/>
      <c r="N249" s="257"/>
      <c r="O249" s="186">
        <f t="shared" si="74"/>
        <v>7500</v>
      </c>
      <c r="P249" s="239"/>
      <c r="Q249" s="256">
        <f t="shared" si="75"/>
        <v>7500</v>
      </c>
    </row>
    <row r="250" spans="1:17" ht="12.75">
      <c r="A250" s="17" t="s">
        <v>319</v>
      </c>
      <c r="B250" s="60">
        <v>35018</v>
      </c>
      <c r="C250" s="101"/>
      <c r="D250" s="75">
        <f>2000</f>
        <v>2000</v>
      </c>
      <c r="E250" s="75"/>
      <c r="F250" s="144">
        <f t="shared" si="71"/>
        <v>2000</v>
      </c>
      <c r="G250" s="146">
        <f>3510.21</f>
        <v>3510.21</v>
      </c>
      <c r="H250" s="173"/>
      <c r="I250" s="186">
        <f t="shared" si="72"/>
        <v>5510.21</v>
      </c>
      <c r="J250" s="229"/>
      <c r="K250" s="257"/>
      <c r="L250" s="186">
        <f t="shared" si="73"/>
        <v>5510.21</v>
      </c>
      <c r="M250" s="156"/>
      <c r="N250" s="257"/>
      <c r="O250" s="186">
        <f t="shared" si="74"/>
        <v>5510.21</v>
      </c>
      <c r="P250" s="239"/>
      <c r="Q250" s="256">
        <f t="shared" si="75"/>
        <v>5510.21</v>
      </c>
    </row>
    <row r="251" spans="1:17" ht="12.75">
      <c r="A251" s="17" t="s">
        <v>356</v>
      </c>
      <c r="B251" s="60">
        <v>17051</v>
      </c>
      <c r="C251" s="101"/>
      <c r="D251" s="75">
        <f>19.89+337.29</f>
        <v>357.18</v>
      </c>
      <c r="E251" s="75"/>
      <c r="F251" s="144">
        <f t="shared" si="71"/>
        <v>357.18</v>
      </c>
      <c r="G251" s="146"/>
      <c r="H251" s="173"/>
      <c r="I251" s="186">
        <f t="shared" si="72"/>
        <v>357.18</v>
      </c>
      <c r="J251" s="229"/>
      <c r="K251" s="257"/>
      <c r="L251" s="186">
        <f t="shared" si="73"/>
        <v>357.18</v>
      </c>
      <c r="M251" s="156"/>
      <c r="N251" s="257"/>
      <c r="O251" s="186">
        <f t="shared" si="74"/>
        <v>357.18</v>
      </c>
      <c r="P251" s="239"/>
      <c r="Q251" s="256">
        <f t="shared" si="75"/>
        <v>357.18</v>
      </c>
    </row>
    <row r="252" spans="1:17" ht="12.75">
      <c r="A252" s="17" t="s">
        <v>355</v>
      </c>
      <c r="B252" s="60">
        <v>13013</v>
      </c>
      <c r="C252" s="101"/>
      <c r="D252" s="75"/>
      <c r="E252" s="75"/>
      <c r="F252" s="144">
        <f t="shared" si="71"/>
        <v>0</v>
      </c>
      <c r="G252" s="146">
        <f>2971.69</f>
        <v>2971.69</v>
      </c>
      <c r="H252" s="173"/>
      <c r="I252" s="186">
        <f t="shared" si="72"/>
        <v>2971.69</v>
      </c>
      <c r="J252" s="229">
        <f>-130.44</f>
        <v>-130.44</v>
      </c>
      <c r="K252" s="257"/>
      <c r="L252" s="186">
        <f t="shared" si="73"/>
        <v>2841.25</v>
      </c>
      <c r="M252" s="156"/>
      <c r="N252" s="257"/>
      <c r="O252" s="186">
        <f t="shared" si="74"/>
        <v>2841.25</v>
      </c>
      <c r="P252" s="239"/>
      <c r="Q252" s="256">
        <f t="shared" si="75"/>
        <v>2841.25</v>
      </c>
    </row>
    <row r="253" spans="1:17" ht="12.75">
      <c r="A253" s="13" t="s">
        <v>105</v>
      </c>
      <c r="B253" s="60">
        <v>13307</v>
      </c>
      <c r="C253" s="101"/>
      <c r="D253" s="75"/>
      <c r="E253" s="75"/>
      <c r="F253" s="144"/>
      <c r="G253" s="146"/>
      <c r="H253" s="173"/>
      <c r="I253" s="186"/>
      <c r="J253" s="229"/>
      <c r="K253" s="257"/>
      <c r="L253" s="186"/>
      <c r="M253" s="156">
        <v>1004.4</v>
      </c>
      <c r="N253" s="257"/>
      <c r="O253" s="186">
        <f t="shared" si="74"/>
        <v>1004.4</v>
      </c>
      <c r="P253" s="239"/>
      <c r="Q253" s="256"/>
    </row>
    <row r="254" spans="1:17" ht="12.75">
      <c r="A254" s="17" t="s">
        <v>375</v>
      </c>
      <c r="B254" s="60">
        <v>35063</v>
      </c>
      <c r="C254" s="101"/>
      <c r="D254" s="75"/>
      <c r="E254" s="75"/>
      <c r="F254" s="144"/>
      <c r="G254" s="146"/>
      <c r="H254" s="173"/>
      <c r="I254" s="186">
        <f t="shared" si="72"/>
        <v>0</v>
      </c>
      <c r="J254" s="229">
        <f>219.7</f>
        <v>219.7</v>
      </c>
      <c r="K254" s="257"/>
      <c r="L254" s="186">
        <f t="shared" si="73"/>
        <v>219.7</v>
      </c>
      <c r="M254" s="156"/>
      <c r="N254" s="257"/>
      <c r="O254" s="186">
        <f t="shared" si="74"/>
        <v>219.7</v>
      </c>
      <c r="P254" s="239"/>
      <c r="Q254" s="256">
        <f t="shared" si="75"/>
        <v>219.7</v>
      </c>
    </row>
    <row r="255" spans="1:17" ht="12.75">
      <c r="A255" s="17" t="s">
        <v>353</v>
      </c>
      <c r="B255" s="60" t="s">
        <v>376</v>
      </c>
      <c r="C255" s="101"/>
      <c r="D255" s="75"/>
      <c r="E255" s="75"/>
      <c r="F255" s="144"/>
      <c r="G255" s="146"/>
      <c r="H255" s="173"/>
      <c r="I255" s="186">
        <f t="shared" si="72"/>
        <v>0</v>
      </c>
      <c r="J255" s="229">
        <f>5508.44+8879.13</f>
        <v>14387.57</v>
      </c>
      <c r="K255" s="257"/>
      <c r="L255" s="186">
        <f t="shared" si="73"/>
        <v>14387.57</v>
      </c>
      <c r="M255" s="156"/>
      <c r="N255" s="257"/>
      <c r="O255" s="186">
        <f t="shared" si="74"/>
        <v>14387.57</v>
      </c>
      <c r="P255" s="239"/>
      <c r="Q255" s="256">
        <f t="shared" si="75"/>
        <v>14387.57</v>
      </c>
    </row>
    <row r="256" spans="1:17" ht="12.75">
      <c r="A256" s="17" t="s">
        <v>359</v>
      </c>
      <c r="B256" s="60">
        <v>4359</v>
      </c>
      <c r="C256" s="100"/>
      <c r="D256" s="75"/>
      <c r="E256" s="75"/>
      <c r="F256" s="144">
        <f t="shared" si="71"/>
        <v>0</v>
      </c>
      <c r="G256" s="146">
        <f>250</f>
        <v>250</v>
      </c>
      <c r="H256" s="173"/>
      <c r="I256" s="186">
        <f t="shared" si="72"/>
        <v>250</v>
      </c>
      <c r="J256" s="229"/>
      <c r="K256" s="257"/>
      <c r="L256" s="186">
        <f t="shared" si="73"/>
        <v>250</v>
      </c>
      <c r="M256" s="156"/>
      <c r="N256" s="257"/>
      <c r="O256" s="186">
        <f t="shared" si="74"/>
        <v>250</v>
      </c>
      <c r="P256" s="239"/>
      <c r="Q256" s="256">
        <f>O256+P256</f>
        <v>250</v>
      </c>
    </row>
    <row r="257" spans="1:17" ht="12.75">
      <c r="A257" s="19" t="s">
        <v>60</v>
      </c>
      <c r="B257" s="64"/>
      <c r="C257" s="117">
        <f>SUM(C259:C263)</f>
        <v>270</v>
      </c>
      <c r="D257" s="78">
        <f aca="true" t="shared" si="76" ref="D257:Q257">SUM(D259:D263)</f>
        <v>-70</v>
      </c>
      <c r="E257" s="78">
        <f t="shared" si="76"/>
        <v>0</v>
      </c>
      <c r="F257" s="206">
        <f t="shared" si="76"/>
        <v>200</v>
      </c>
      <c r="G257" s="150">
        <f t="shared" si="76"/>
        <v>2000</v>
      </c>
      <c r="H257" s="176">
        <f t="shared" si="76"/>
        <v>0</v>
      </c>
      <c r="I257" s="189">
        <f t="shared" si="76"/>
        <v>2200</v>
      </c>
      <c r="J257" s="243">
        <f t="shared" si="76"/>
        <v>4000</v>
      </c>
      <c r="K257" s="280">
        <f t="shared" si="76"/>
        <v>0</v>
      </c>
      <c r="L257" s="189">
        <f t="shared" si="76"/>
        <v>6200</v>
      </c>
      <c r="M257" s="298">
        <f t="shared" si="76"/>
        <v>4130.47</v>
      </c>
      <c r="N257" s="280">
        <f t="shared" si="76"/>
        <v>10085</v>
      </c>
      <c r="O257" s="189">
        <f t="shared" si="76"/>
        <v>20415.47</v>
      </c>
      <c r="P257" s="243">
        <f t="shared" si="76"/>
        <v>0</v>
      </c>
      <c r="Q257" s="224">
        <f t="shared" si="76"/>
        <v>20415.47</v>
      </c>
    </row>
    <row r="258" spans="1:17" ht="12.75">
      <c r="A258" s="15" t="s">
        <v>27</v>
      </c>
      <c r="B258" s="60"/>
      <c r="C258" s="100"/>
      <c r="D258" s="75"/>
      <c r="E258" s="75"/>
      <c r="F258" s="144"/>
      <c r="G258" s="146"/>
      <c r="H258" s="173"/>
      <c r="I258" s="186"/>
      <c r="J258" s="229"/>
      <c r="K258" s="257"/>
      <c r="L258" s="186"/>
      <c r="M258" s="156"/>
      <c r="N258" s="257"/>
      <c r="O258" s="186"/>
      <c r="P258" s="239"/>
      <c r="Q258" s="256"/>
    </row>
    <row r="259" spans="1:17" ht="12.75">
      <c r="A259" s="17" t="s">
        <v>61</v>
      </c>
      <c r="B259" s="60"/>
      <c r="C259" s="100">
        <v>270</v>
      </c>
      <c r="D259" s="75">
        <f>-70</f>
        <v>-70</v>
      </c>
      <c r="E259" s="75"/>
      <c r="F259" s="144">
        <f>C259+D259+E259</f>
        <v>200</v>
      </c>
      <c r="G259" s="146"/>
      <c r="H259" s="173"/>
      <c r="I259" s="186">
        <f>F259+G259+H259</f>
        <v>200</v>
      </c>
      <c r="J259" s="229"/>
      <c r="K259" s="257"/>
      <c r="L259" s="186">
        <f>I259+J259+K259</f>
        <v>200</v>
      </c>
      <c r="M259" s="156"/>
      <c r="N259" s="257"/>
      <c r="O259" s="186">
        <f>L259+M259+N259</f>
        <v>200</v>
      </c>
      <c r="P259" s="239"/>
      <c r="Q259" s="256">
        <f>O259+P259</f>
        <v>200</v>
      </c>
    </row>
    <row r="260" spans="1:17" ht="12.75">
      <c r="A260" s="17" t="s">
        <v>98</v>
      </c>
      <c r="B260" s="60"/>
      <c r="C260" s="100"/>
      <c r="D260" s="75"/>
      <c r="E260" s="75"/>
      <c r="F260" s="144">
        <f>C260+D260+E260</f>
        <v>0</v>
      </c>
      <c r="G260" s="146">
        <f>2000</f>
        <v>2000</v>
      </c>
      <c r="H260" s="173"/>
      <c r="I260" s="186">
        <f>F260+G260+H260</f>
        <v>2000</v>
      </c>
      <c r="J260" s="229">
        <f>4000</f>
        <v>4000</v>
      </c>
      <c r="K260" s="257"/>
      <c r="L260" s="186">
        <f>I260+J260+K260</f>
        <v>6000</v>
      </c>
      <c r="M260" s="156"/>
      <c r="N260" s="257">
        <v>10085</v>
      </c>
      <c r="O260" s="186">
        <f>L260+M260+N260</f>
        <v>16085</v>
      </c>
      <c r="P260" s="262"/>
      <c r="Q260" s="263">
        <f>O260+P260</f>
        <v>16085</v>
      </c>
    </row>
    <row r="261" spans="1:17" ht="12.75">
      <c r="A261" s="17" t="s">
        <v>400</v>
      </c>
      <c r="B261" s="60"/>
      <c r="C261" s="100"/>
      <c r="D261" s="75"/>
      <c r="E261" s="75"/>
      <c r="F261" s="144">
        <f>C261+D261+E261</f>
        <v>0</v>
      </c>
      <c r="G261" s="146"/>
      <c r="H261" s="173"/>
      <c r="I261" s="186">
        <f>F261+G261+H261</f>
        <v>0</v>
      </c>
      <c r="J261" s="229"/>
      <c r="K261" s="257"/>
      <c r="L261" s="186">
        <f>I261+J261+K261</f>
        <v>0</v>
      </c>
      <c r="M261" s="156">
        <v>2149.57</v>
      </c>
      <c r="N261" s="257"/>
      <c r="O261" s="186">
        <f>L261+M261+N261</f>
        <v>2149.57</v>
      </c>
      <c r="P261" s="239"/>
      <c r="Q261" s="256">
        <f>O261+P261</f>
        <v>2149.57</v>
      </c>
    </row>
    <row r="262" spans="1:17" ht="12.75" hidden="1">
      <c r="A262" s="17" t="s">
        <v>231</v>
      </c>
      <c r="B262" s="60"/>
      <c r="C262" s="100"/>
      <c r="D262" s="75"/>
      <c r="E262" s="75"/>
      <c r="F262" s="144">
        <f>C262+D262+E262</f>
        <v>0</v>
      </c>
      <c r="G262" s="152"/>
      <c r="H262" s="178"/>
      <c r="I262" s="191">
        <f>F262+G262+H262</f>
        <v>0</v>
      </c>
      <c r="J262" s="245"/>
      <c r="K262" s="261"/>
      <c r="L262" s="191">
        <f>I262+J262+K262</f>
        <v>0</v>
      </c>
      <c r="M262" s="300"/>
      <c r="N262" s="261"/>
      <c r="O262" s="191">
        <f>L262+M262+N262</f>
        <v>0</v>
      </c>
      <c r="P262" s="262"/>
      <c r="Q262" s="263">
        <f>O262+P262</f>
        <v>0</v>
      </c>
    </row>
    <row r="263" spans="1:17" ht="12.75">
      <c r="A263" s="16" t="s">
        <v>87</v>
      </c>
      <c r="B263" s="63"/>
      <c r="C263" s="118"/>
      <c r="D263" s="79"/>
      <c r="E263" s="79"/>
      <c r="F263" s="97">
        <f>C263+D263+E263</f>
        <v>0</v>
      </c>
      <c r="G263" s="152"/>
      <c r="H263" s="178"/>
      <c r="I263" s="191">
        <f>F263+G263+H263</f>
        <v>0</v>
      </c>
      <c r="J263" s="245"/>
      <c r="K263" s="261"/>
      <c r="L263" s="191">
        <f>I263+J263+K263</f>
        <v>0</v>
      </c>
      <c r="M263" s="300">
        <v>1980.9</v>
      </c>
      <c r="N263" s="261"/>
      <c r="O263" s="191">
        <f>L263+M263+N263</f>
        <v>1980.9</v>
      </c>
      <c r="P263" s="262"/>
      <c r="Q263" s="263">
        <f>O263+P263</f>
        <v>1980.9</v>
      </c>
    </row>
    <row r="264" spans="1:17" ht="12.75">
      <c r="A264" s="25" t="s">
        <v>100</v>
      </c>
      <c r="B264" s="65"/>
      <c r="C264" s="96">
        <f aca="true" t="shared" si="77" ref="C264:Q264">C265+C281</f>
        <v>215953.59999999998</v>
      </c>
      <c r="D264" s="76">
        <f t="shared" si="77"/>
        <v>15209.2</v>
      </c>
      <c r="E264" s="76">
        <f t="shared" si="77"/>
        <v>0</v>
      </c>
      <c r="F264" s="139">
        <f t="shared" si="77"/>
        <v>231162.8</v>
      </c>
      <c r="G264" s="148">
        <f t="shared" si="77"/>
        <v>1949</v>
      </c>
      <c r="H264" s="155">
        <f t="shared" si="77"/>
        <v>0</v>
      </c>
      <c r="I264" s="187">
        <f t="shared" si="77"/>
        <v>233111.8</v>
      </c>
      <c r="J264" s="240">
        <f t="shared" si="77"/>
        <v>4253.85</v>
      </c>
      <c r="K264" s="260">
        <f t="shared" si="77"/>
        <v>0</v>
      </c>
      <c r="L264" s="187">
        <f t="shared" si="77"/>
        <v>237365.64999999997</v>
      </c>
      <c r="M264" s="296">
        <f t="shared" si="77"/>
        <v>5551.119999999999</v>
      </c>
      <c r="N264" s="260">
        <f t="shared" si="77"/>
        <v>0</v>
      </c>
      <c r="O264" s="187">
        <f t="shared" si="77"/>
        <v>242916.77</v>
      </c>
      <c r="P264" s="240">
        <f t="shared" si="77"/>
        <v>0</v>
      </c>
      <c r="Q264" s="222">
        <f t="shared" si="77"/>
        <v>238614.88999999998</v>
      </c>
    </row>
    <row r="265" spans="1:17" ht="12.75">
      <c r="A265" s="19" t="s">
        <v>55</v>
      </c>
      <c r="B265" s="64"/>
      <c r="C265" s="117">
        <f aca="true" t="shared" si="78" ref="C265:Q265">SUM(C267:C280)</f>
        <v>206254.59999999998</v>
      </c>
      <c r="D265" s="78">
        <f t="shared" si="78"/>
        <v>16609.2</v>
      </c>
      <c r="E265" s="78">
        <f t="shared" si="78"/>
        <v>0</v>
      </c>
      <c r="F265" s="206">
        <f t="shared" si="78"/>
        <v>222863.8</v>
      </c>
      <c r="G265" s="150">
        <f t="shared" si="78"/>
        <v>1434</v>
      </c>
      <c r="H265" s="176">
        <f t="shared" si="78"/>
        <v>0</v>
      </c>
      <c r="I265" s="189">
        <f t="shared" si="78"/>
        <v>224297.8</v>
      </c>
      <c r="J265" s="243">
        <f t="shared" si="78"/>
        <v>3912.8500000000004</v>
      </c>
      <c r="K265" s="280">
        <f t="shared" si="78"/>
        <v>0</v>
      </c>
      <c r="L265" s="189">
        <f t="shared" si="78"/>
        <v>228210.64999999997</v>
      </c>
      <c r="M265" s="298">
        <f t="shared" si="78"/>
        <v>4118.349999999999</v>
      </c>
      <c r="N265" s="280">
        <f t="shared" si="78"/>
        <v>0</v>
      </c>
      <c r="O265" s="189">
        <f t="shared" si="78"/>
        <v>232329</v>
      </c>
      <c r="P265" s="243">
        <f t="shared" si="78"/>
        <v>0</v>
      </c>
      <c r="Q265" s="224">
        <f t="shared" si="78"/>
        <v>228027.12</v>
      </c>
    </row>
    <row r="266" spans="1:17" ht="12.75">
      <c r="A266" s="15" t="s">
        <v>27</v>
      </c>
      <c r="B266" s="60"/>
      <c r="C266" s="100"/>
      <c r="D266" s="75"/>
      <c r="E266" s="75"/>
      <c r="F266" s="144"/>
      <c r="G266" s="146"/>
      <c r="H266" s="173"/>
      <c r="I266" s="186"/>
      <c r="J266" s="229"/>
      <c r="K266" s="257"/>
      <c r="L266" s="186"/>
      <c r="M266" s="156"/>
      <c r="N266" s="257"/>
      <c r="O266" s="186"/>
      <c r="P266" s="239"/>
      <c r="Q266" s="256"/>
    </row>
    <row r="267" spans="1:17" ht="12.75">
      <c r="A267" s="17" t="s">
        <v>83</v>
      </c>
      <c r="B267" s="60"/>
      <c r="C267" s="100">
        <v>177241.3</v>
      </c>
      <c r="D267" s="75">
        <f>6300+8252.85-1700</f>
        <v>12852.85</v>
      </c>
      <c r="E267" s="75"/>
      <c r="F267" s="144">
        <f aca="true" t="shared" si="79" ref="F267:F280">C267+D267+E267</f>
        <v>190094.15</v>
      </c>
      <c r="G267" s="146">
        <f>355</f>
        <v>355</v>
      </c>
      <c r="H267" s="173"/>
      <c r="I267" s="186">
        <f>F267+G267+H267</f>
        <v>190449.15</v>
      </c>
      <c r="J267" s="229">
        <f>1536.3</f>
        <v>1536.3</v>
      </c>
      <c r="K267" s="257"/>
      <c r="L267" s="186">
        <f>I267+J267+K267</f>
        <v>191985.44999999998</v>
      </c>
      <c r="M267" s="156">
        <f>502.6-200+16.47</f>
        <v>319.07000000000005</v>
      </c>
      <c r="N267" s="257"/>
      <c r="O267" s="186">
        <f>L267+M267+N267</f>
        <v>192304.52</v>
      </c>
      <c r="P267" s="239"/>
      <c r="Q267" s="256">
        <f aca="true" t="shared" si="80" ref="Q267:Q280">O267+P267</f>
        <v>192304.52</v>
      </c>
    </row>
    <row r="268" spans="1:17" ht="12.75">
      <c r="A268" s="17" t="s">
        <v>57</v>
      </c>
      <c r="B268" s="60"/>
      <c r="C268" s="100">
        <v>25694.3</v>
      </c>
      <c r="D268" s="75">
        <f>-5451-1130+422.35-69+96+2048+1000</f>
        <v>-3083.6499999999996</v>
      </c>
      <c r="E268" s="75"/>
      <c r="F268" s="144">
        <f t="shared" si="79"/>
        <v>22610.65</v>
      </c>
      <c r="G268" s="146">
        <f>25+52</f>
        <v>77</v>
      </c>
      <c r="H268" s="173"/>
      <c r="I268" s="186">
        <f aca="true" t="shared" si="81" ref="I268:I280">F268+G268+H268</f>
        <v>22687.65</v>
      </c>
      <c r="J268" s="229">
        <f>50</f>
        <v>50</v>
      </c>
      <c r="K268" s="257"/>
      <c r="L268" s="186">
        <f aca="true" t="shared" si="82" ref="L268:L280">I268+J268+K268</f>
        <v>22737.65</v>
      </c>
      <c r="M268" s="156">
        <v>-502.6</v>
      </c>
      <c r="N268" s="257"/>
      <c r="O268" s="186">
        <f aca="true" t="shared" si="83" ref="O268:O280">L268+M268+N268</f>
        <v>22235.050000000003</v>
      </c>
      <c r="P268" s="239"/>
      <c r="Q268" s="256">
        <f t="shared" si="80"/>
        <v>22235.050000000003</v>
      </c>
    </row>
    <row r="269" spans="1:17" ht="12.75">
      <c r="A269" s="17" t="s">
        <v>142</v>
      </c>
      <c r="B269" s="60"/>
      <c r="C269" s="100">
        <v>3319</v>
      </c>
      <c r="D269" s="75">
        <f>69</f>
        <v>69</v>
      </c>
      <c r="E269" s="75"/>
      <c r="F269" s="144">
        <f t="shared" si="79"/>
        <v>3388</v>
      </c>
      <c r="G269" s="146"/>
      <c r="H269" s="173"/>
      <c r="I269" s="186">
        <f t="shared" si="81"/>
        <v>3388</v>
      </c>
      <c r="J269" s="229"/>
      <c r="K269" s="257"/>
      <c r="L269" s="186">
        <f t="shared" si="82"/>
        <v>3388</v>
      </c>
      <c r="M269" s="156"/>
      <c r="N269" s="257"/>
      <c r="O269" s="186">
        <f t="shared" si="83"/>
        <v>3388</v>
      </c>
      <c r="P269" s="239"/>
      <c r="Q269" s="256">
        <f t="shared" si="80"/>
        <v>3388</v>
      </c>
    </row>
    <row r="270" spans="1:17" ht="12.75">
      <c r="A270" s="17" t="s">
        <v>71</v>
      </c>
      <c r="B270" s="60"/>
      <c r="C270" s="100"/>
      <c r="D270" s="75">
        <f>5451+1130+190</f>
        <v>6771</v>
      </c>
      <c r="E270" s="75"/>
      <c r="F270" s="144">
        <f t="shared" si="79"/>
        <v>6771</v>
      </c>
      <c r="G270" s="146"/>
      <c r="H270" s="173"/>
      <c r="I270" s="186">
        <f t="shared" si="81"/>
        <v>6771</v>
      </c>
      <c r="J270" s="229"/>
      <c r="K270" s="257"/>
      <c r="L270" s="186">
        <f t="shared" si="82"/>
        <v>6771</v>
      </c>
      <c r="M270" s="156"/>
      <c r="N270" s="257"/>
      <c r="O270" s="186">
        <f t="shared" si="83"/>
        <v>6771</v>
      </c>
      <c r="P270" s="239"/>
      <c r="Q270" s="256">
        <f t="shared" si="80"/>
        <v>6771</v>
      </c>
    </row>
    <row r="271" spans="1:17" ht="12.75">
      <c r="A271" s="17" t="s">
        <v>101</v>
      </c>
      <c r="B271" s="60">
        <v>34070</v>
      </c>
      <c r="C271" s="100"/>
      <c r="D271" s="75"/>
      <c r="E271" s="75"/>
      <c r="F271" s="144">
        <f t="shared" si="79"/>
        <v>0</v>
      </c>
      <c r="G271" s="146">
        <f>160+340</f>
        <v>500</v>
      </c>
      <c r="H271" s="173"/>
      <c r="I271" s="186">
        <f t="shared" si="81"/>
        <v>500</v>
      </c>
      <c r="J271" s="229">
        <f>47+47</f>
        <v>94</v>
      </c>
      <c r="K271" s="257"/>
      <c r="L271" s="186">
        <f t="shared" si="82"/>
        <v>594</v>
      </c>
      <c r="M271" s="156"/>
      <c r="N271" s="257"/>
      <c r="O271" s="186">
        <f t="shared" si="83"/>
        <v>594</v>
      </c>
      <c r="P271" s="239"/>
      <c r="Q271" s="256">
        <f t="shared" si="80"/>
        <v>594</v>
      </c>
    </row>
    <row r="272" spans="1:17" ht="12.75">
      <c r="A272" s="17" t="s">
        <v>371</v>
      </c>
      <c r="B272" s="60">
        <v>34013</v>
      </c>
      <c r="C272" s="100"/>
      <c r="D272" s="75"/>
      <c r="E272" s="75"/>
      <c r="F272" s="144"/>
      <c r="G272" s="146"/>
      <c r="H272" s="173"/>
      <c r="I272" s="186">
        <f t="shared" si="81"/>
        <v>0</v>
      </c>
      <c r="J272" s="229">
        <f>80+53+111+168</f>
        <v>412</v>
      </c>
      <c r="K272" s="257"/>
      <c r="L272" s="186">
        <f t="shared" si="82"/>
        <v>412</v>
      </c>
      <c r="M272" s="156"/>
      <c r="N272" s="257"/>
      <c r="O272" s="186">
        <f t="shared" si="83"/>
        <v>412</v>
      </c>
      <c r="P272" s="239"/>
      <c r="Q272" s="256">
        <f t="shared" si="80"/>
        <v>412</v>
      </c>
    </row>
    <row r="273" spans="1:17" ht="12.75">
      <c r="A273" s="35" t="s">
        <v>368</v>
      </c>
      <c r="B273" s="60">
        <v>34017</v>
      </c>
      <c r="C273" s="100"/>
      <c r="D273" s="75"/>
      <c r="E273" s="75"/>
      <c r="F273" s="144"/>
      <c r="G273" s="146"/>
      <c r="H273" s="173"/>
      <c r="I273" s="186">
        <f t="shared" si="81"/>
        <v>0</v>
      </c>
      <c r="J273" s="229">
        <f>291+100</f>
        <v>391</v>
      </c>
      <c r="K273" s="257"/>
      <c r="L273" s="186">
        <f t="shared" si="82"/>
        <v>391</v>
      </c>
      <c r="M273" s="156"/>
      <c r="N273" s="257"/>
      <c r="O273" s="186">
        <f t="shared" si="83"/>
        <v>391</v>
      </c>
      <c r="P273" s="239"/>
      <c r="Q273" s="256">
        <f t="shared" si="80"/>
        <v>391</v>
      </c>
    </row>
    <row r="274" spans="1:17" ht="12.75" hidden="1">
      <c r="A274" s="17" t="s">
        <v>369</v>
      </c>
      <c r="B274" s="60">
        <v>34021</v>
      </c>
      <c r="C274" s="100"/>
      <c r="D274" s="75"/>
      <c r="E274" s="75"/>
      <c r="F274" s="144"/>
      <c r="G274" s="146"/>
      <c r="H274" s="173"/>
      <c r="I274" s="186">
        <f t="shared" si="81"/>
        <v>0</v>
      </c>
      <c r="J274" s="229"/>
      <c r="K274" s="257"/>
      <c r="L274" s="186">
        <f t="shared" si="82"/>
        <v>0</v>
      </c>
      <c r="M274" s="156"/>
      <c r="N274" s="257"/>
      <c r="O274" s="186">
        <f t="shared" si="83"/>
        <v>0</v>
      </c>
      <c r="P274" s="239"/>
      <c r="Q274" s="256">
        <f t="shared" si="80"/>
        <v>0</v>
      </c>
    </row>
    <row r="275" spans="1:17" ht="12.75">
      <c r="A275" s="17" t="s">
        <v>370</v>
      </c>
      <c r="B275" s="60">
        <v>34019</v>
      </c>
      <c r="C275" s="100"/>
      <c r="D275" s="75"/>
      <c r="E275" s="75"/>
      <c r="F275" s="144"/>
      <c r="G275" s="146"/>
      <c r="H275" s="173"/>
      <c r="I275" s="186">
        <f t="shared" si="81"/>
        <v>0</v>
      </c>
      <c r="J275" s="229">
        <f>57+61</f>
        <v>118</v>
      </c>
      <c r="K275" s="257"/>
      <c r="L275" s="186">
        <f t="shared" si="82"/>
        <v>118</v>
      </c>
      <c r="M275" s="156"/>
      <c r="N275" s="257"/>
      <c r="O275" s="186">
        <f t="shared" si="83"/>
        <v>118</v>
      </c>
      <c r="P275" s="239"/>
      <c r="Q275" s="256">
        <f t="shared" si="80"/>
        <v>118</v>
      </c>
    </row>
    <row r="276" spans="1:17" ht="12.75">
      <c r="A276" s="17" t="s">
        <v>102</v>
      </c>
      <c r="B276" s="60">
        <v>34053</v>
      </c>
      <c r="C276" s="100"/>
      <c r="D276" s="75"/>
      <c r="E276" s="75"/>
      <c r="F276" s="144">
        <f t="shared" si="79"/>
        <v>0</v>
      </c>
      <c r="G276" s="146">
        <f>23+100+26+74+117+162</f>
        <v>502</v>
      </c>
      <c r="H276" s="173"/>
      <c r="I276" s="186">
        <f t="shared" si="81"/>
        <v>502</v>
      </c>
      <c r="J276" s="229"/>
      <c r="K276" s="257"/>
      <c r="L276" s="186">
        <f t="shared" si="82"/>
        <v>502</v>
      </c>
      <c r="M276" s="156"/>
      <c r="N276" s="257"/>
      <c r="O276" s="186">
        <f t="shared" si="83"/>
        <v>502</v>
      </c>
      <c r="P276" s="239"/>
      <c r="Q276" s="256">
        <f t="shared" si="80"/>
        <v>502</v>
      </c>
    </row>
    <row r="277" spans="1:17" ht="12.75">
      <c r="A277" s="17" t="s">
        <v>385</v>
      </c>
      <c r="B277" s="60" t="s">
        <v>374</v>
      </c>
      <c r="C277" s="100"/>
      <c r="D277" s="75"/>
      <c r="E277" s="75"/>
      <c r="F277" s="144"/>
      <c r="G277" s="146"/>
      <c r="H277" s="173"/>
      <c r="I277" s="186">
        <f t="shared" si="81"/>
        <v>0</v>
      </c>
      <c r="J277" s="229">
        <f>1311.55</f>
        <v>1311.55</v>
      </c>
      <c r="K277" s="257"/>
      <c r="L277" s="186">
        <f t="shared" si="82"/>
        <v>1311.55</v>
      </c>
      <c r="M277" s="156"/>
      <c r="N277" s="257"/>
      <c r="O277" s="186">
        <f t="shared" si="83"/>
        <v>1311.55</v>
      </c>
      <c r="P277" s="239"/>
      <c r="Q277" s="256">
        <f t="shared" si="80"/>
        <v>1311.55</v>
      </c>
    </row>
    <row r="278" spans="1:17" ht="12.75">
      <c r="A278" s="17" t="s">
        <v>388</v>
      </c>
      <c r="B278" s="60">
        <v>34027</v>
      </c>
      <c r="C278" s="100"/>
      <c r="D278" s="75"/>
      <c r="E278" s="75"/>
      <c r="F278" s="144"/>
      <c r="G278" s="146"/>
      <c r="H278" s="173"/>
      <c r="I278" s="186"/>
      <c r="J278" s="229"/>
      <c r="K278" s="257"/>
      <c r="L278" s="186">
        <f t="shared" si="82"/>
        <v>0</v>
      </c>
      <c r="M278" s="156">
        <f>49.59+54.31</f>
        <v>103.9</v>
      </c>
      <c r="N278" s="257"/>
      <c r="O278" s="186">
        <f t="shared" si="83"/>
        <v>103.9</v>
      </c>
      <c r="P278" s="239"/>
      <c r="Q278" s="256"/>
    </row>
    <row r="279" spans="1:17" ht="12.75">
      <c r="A279" s="17" t="s">
        <v>395</v>
      </c>
      <c r="B279" s="60">
        <v>33063</v>
      </c>
      <c r="C279" s="100"/>
      <c r="D279" s="75"/>
      <c r="E279" s="75"/>
      <c r="F279" s="144"/>
      <c r="G279" s="146"/>
      <c r="H279" s="173"/>
      <c r="I279" s="186"/>
      <c r="J279" s="229"/>
      <c r="K279" s="257"/>
      <c r="L279" s="186"/>
      <c r="M279" s="156">
        <v>4197.98</v>
      </c>
      <c r="N279" s="257"/>
      <c r="O279" s="186">
        <f t="shared" si="83"/>
        <v>4197.98</v>
      </c>
      <c r="P279" s="239"/>
      <c r="Q279" s="256"/>
    </row>
    <row r="280" spans="1:17" ht="12.75">
      <c r="A280" s="17" t="s">
        <v>87</v>
      </c>
      <c r="B280" s="60"/>
      <c r="C280" s="100"/>
      <c r="D280" s="75"/>
      <c r="E280" s="75"/>
      <c r="F280" s="144">
        <f t="shared" si="79"/>
        <v>0</v>
      </c>
      <c r="G280" s="146"/>
      <c r="H280" s="173"/>
      <c r="I280" s="186">
        <f t="shared" si="81"/>
        <v>0</v>
      </c>
      <c r="J280" s="229"/>
      <c r="K280" s="257"/>
      <c r="L280" s="186">
        <f t="shared" si="82"/>
        <v>0</v>
      </c>
      <c r="M280" s="156"/>
      <c r="N280" s="257"/>
      <c r="O280" s="186">
        <f t="shared" si="83"/>
        <v>0</v>
      </c>
      <c r="P280" s="239"/>
      <c r="Q280" s="256">
        <f t="shared" si="80"/>
        <v>0</v>
      </c>
    </row>
    <row r="281" spans="1:17" ht="12.75">
      <c r="A281" s="19" t="s">
        <v>60</v>
      </c>
      <c r="B281" s="64"/>
      <c r="C281" s="117">
        <f>SUM(C283:C287)</f>
        <v>9699</v>
      </c>
      <c r="D281" s="78">
        <f aca="true" t="shared" si="84" ref="D281:Q281">SUM(D283:D287)</f>
        <v>-1400</v>
      </c>
      <c r="E281" s="78">
        <f t="shared" si="84"/>
        <v>0</v>
      </c>
      <c r="F281" s="206">
        <f t="shared" si="84"/>
        <v>8299</v>
      </c>
      <c r="G281" s="150">
        <f t="shared" si="84"/>
        <v>515</v>
      </c>
      <c r="H281" s="176">
        <f t="shared" si="84"/>
        <v>0</v>
      </c>
      <c r="I281" s="189">
        <f t="shared" si="84"/>
        <v>8814</v>
      </c>
      <c r="J281" s="243">
        <f t="shared" si="84"/>
        <v>341</v>
      </c>
      <c r="K281" s="280">
        <f t="shared" si="84"/>
        <v>0</v>
      </c>
      <c r="L281" s="189">
        <f t="shared" si="84"/>
        <v>9155</v>
      </c>
      <c r="M281" s="298">
        <f t="shared" si="84"/>
        <v>1432.77</v>
      </c>
      <c r="N281" s="280">
        <f t="shared" si="84"/>
        <v>0</v>
      </c>
      <c r="O281" s="189">
        <f t="shared" si="84"/>
        <v>10587.77</v>
      </c>
      <c r="P281" s="243">
        <f t="shared" si="84"/>
        <v>0</v>
      </c>
      <c r="Q281" s="224">
        <f t="shared" si="84"/>
        <v>10587.77</v>
      </c>
    </row>
    <row r="282" spans="1:17" ht="12.75">
      <c r="A282" s="15" t="s">
        <v>27</v>
      </c>
      <c r="B282" s="60"/>
      <c r="C282" s="100"/>
      <c r="D282" s="75"/>
      <c r="E282" s="75"/>
      <c r="F282" s="144"/>
      <c r="G282" s="146"/>
      <c r="H282" s="173"/>
      <c r="I282" s="186"/>
      <c r="J282" s="229"/>
      <c r="K282" s="257"/>
      <c r="L282" s="186"/>
      <c r="M282" s="156"/>
      <c r="N282" s="257"/>
      <c r="O282" s="186"/>
      <c r="P282" s="239"/>
      <c r="Q282" s="256"/>
    </row>
    <row r="283" spans="1:17" ht="12.75">
      <c r="A283" s="17" t="s">
        <v>102</v>
      </c>
      <c r="B283" s="60">
        <v>34544</v>
      </c>
      <c r="C283" s="100"/>
      <c r="D283" s="75"/>
      <c r="E283" s="75"/>
      <c r="F283" s="144">
        <f>C283+D283+E283</f>
        <v>0</v>
      </c>
      <c r="G283" s="146">
        <f>515</f>
        <v>515</v>
      </c>
      <c r="H283" s="173"/>
      <c r="I283" s="186">
        <f>F283+G283+H283</f>
        <v>515</v>
      </c>
      <c r="J283" s="229"/>
      <c r="K283" s="257"/>
      <c r="L283" s="186">
        <f>I283+J283+K283</f>
        <v>515</v>
      </c>
      <c r="M283" s="156"/>
      <c r="N283" s="257"/>
      <c r="O283" s="186">
        <f>L283+M283+N283</f>
        <v>515</v>
      </c>
      <c r="P283" s="239"/>
      <c r="Q283" s="256">
        <f>O283+P283</f>
        <v>515</v>
      </c>
    </row>
    <row r="284" spans="1:17" ht="12.75">
      <c r="A284" s="17" t="s">
        <v>371</v>
      </c>
      <c r="B284" s="60" t="s">
        <v>378</v>
      </c>
      <c r="C284" s="100"/>
      <c r="D284" s="75"/>
      <c r="E284" s="75"/>
      <c r="F284" s="144"/>
      <c r="G284" s="146"/>
      <c r="H284" s="173"/>
      <c r="I284" s="186">
        <f>F284+G284+H284</f>
        <v>0</v>
      </c>
      <c r="J284" s="229">
        <f>171+170</f>
        <v>341</v>
      </c>
      <c r="K284" s="257"/>
      <c r="L284" s="186">
        <f>I284+J284+K284</f>
        <v>341</v>
      </c>
      <c r="M284" s="156"/>
      <c r="N284" s="257"/>
      <c r="O284" s="186">
        <f>L284+M284+N284</f>
        <v>341</v>
      </c>
      <c r="P284" s="239"/>
      <c r="Q284" s="256">
        <f>O284+P284</f>
        <v>341</v>
      </c>
    </row>
    <row r="285" spans="1:17" ht="12.75">
      <c r="A285" s="58" t="s">
        <v>98</v>
      </c>
      <c r="B285" s="60"/>
      <c r="C285" s="100">
        <v>2729</v>
      </c>
      <c r="D285" s="75">
        <f>1700</f>
        <v>1700</v>
      </c>
      <c r="E285" s="75"/>
      <c r="F285" s="144">
        <f>C285+D285+E285</f>
        <v>4429</v>
      </c>
      <c r="G285" s="146"/>
      <c r="H285" s="173"/>
      <c r="I285" s="186">
        <f>F285+G285+H285</f>
        <v>4429</v>
      </c>
      <c r="J285" s="229">
        <v>500</v>
      </c>
      <c r="K285" s="257"/>
      <c r="L285" s="186">
        <f>I285+J285+K285</f>
        <v>4929</v>
      </c>
      <c r="M285" s="156">
        <f>200+1121.77+111</f>
        <v>1432.77</v>
      </c>
      <c r="N285" s="257"/>
      <c r="O285" s="186">
        <f>L285+M285+N285</f>
        <v>6361.77</v>
      </c>
      <c r="P285" s="239"/>
      <c r="Q285" s="256">
        <f>O285+P285</f>
        <v>6361.77</v>
      </c>
    </row>
    <row r="286" spans="1:17" ht="12.75">
      <c r="A286" s="143" t="s">
        <v>61</v>
      </c>
      <c r="B286" s="63"/>
      <c r="C286" s="118">
        <v>6970</v>
      </c>
      <c r="D286" s="79">
        <f>-3100</f>
        <v>-3100</v>
      </c>
      <c r="E286" s="79"/>
      <c r="F286" s="97">
        <f>C286+D286+E286</f>
        <v>3870</v>
      </c>
      <c r="G286" s="152"/>
      <c r="H286" s="178"/>
      <c r="I286" s="191">
        <f>F286+G286+H286</f>
        <v>3870</v>
      </c>
      <c r="J286" s="245">
        <v>-500</v>
      </c>
      <c r="K286" s="261"/>
      <c r="L286" s="191">
        <f>I286+J286+K286</f>
        <v>3370</v>
      </c>
      <c r="M286" s="152"/>
      <c r="N286" s="261"/>
      <c r="O286" s="191">
        <f>L286+M286+N286</f>
        <v>3370</v>
      </c>
      <c r="P286" s="262"/>
      <c r="Q286" s="263">
        <f>O286+P286</f>
        <v>3370</v>
      </c>
    </row>
    <row r="287" spans="1:17" ht="12.75" hidden="1">
      <c r="A287" s="24" t="s">
        <v>87</v>
      </c>
      <c r="B287" s="63"/>
      <c r="C287" s="118"/>
      <c r="D287" s="79"/>
      <c r="E287" s="79"/>
      <c r="F287" s="97">
        <f>C287+D287+E287</f>
        <v>0</v>
      </c>
      <c r="G287" s="152"/>
      <c r="H287" s="178"/>
      <c r="I287" s="191">
        <f>F287+G287+H287</f>
        <v>0</v>
      </c>
      <c r="J287" s="245"/>
      <c r="K287" s="261"/>
      <c r="L287" s="191">
        <f>I287+J287+K287</f>
        <v>0</v>
      </c>
      <c r="M287" s="301"/>
      <c r="N287" s="261"/>
      <c r="O287" s="191">
        <f>L287+M287+N287</f>
        <v>0</v>
      </c>
      <c r="P287" s="262"/>
      <c r="Q287" s="263">
        <f>O287+P287</f>
        <v>0</v>
      </c>
    </row>
    <row r="288" spans="1:17" ht="12.75">
      <c r="A288" s="10" t="s">
        <v>54</v>
      </c>
      <c r="B288" s="62"/>
      <c r="C288" s="105">
        <f aca="true" t="shared" si="85" ref="C288:Q288">C289+C300</f>
        <v>60706.65</v>
      </c>
      <c r="D288" s="74">
        <f t="shared" si="85"/>
        <v>6305.6</v>
      </c>
      <c r="E288" s="74">
        <f t="shared" si="85"/>
        <v>0</v>
      </c>
      <c r="F288" s="204">
        <f t="shared" si="85"/>
        <v>67012.25</v>
      </c>
      <c r="G288" s="145">
        <f t="shared" si="85"/>
        <v>25.95</v>
      </c>
      <c r="H288" s="172">
        <f t="shared" si="85"/>
        <v>0</v>
      </c>
      <c r="I288" s="185">
        <f t="shared" si="85"/>
        <v>67038.2</v>
      </c>
      <c r="J288" s="238">
        <f t="shared" si="85"/>
        <v>1175</v>
      </c>
      <c r="K288" s="255">
        <f t="shared" si="85"/>
        <v>0</v>
      </c>
      <c r="L288" s="185">
        <f t="shared" si="85"/>
        <v>68213.2</v>
      </c>
      <c r="M288" s="254">
        <f t="shared" si="85"/>
        <v>4500</v>
      </c>
      <c r="N288" s="255">
        <f t="shared" si="85"/>
        <v>0</v>
      </c>
      <c r="O288" s="185">
        <f t="shared" si="85"/>
        <v>72713.2</v>
      </c>
      <c r="P288" s="238">
        <f t="shared" si="85"/>
        <v>0</v>
      </c>
      <c r="Q288" s="221">
        <f t="shared" si="85"/>
        <v>72713.2</v>
      </c>
    </row>
    <row r="289" spans="1:17" ht="12.75">
      <c r="A289" s="19" t="s">
        <v>55</v>
      </c>
      <c r="B289" s="62"/>
      <c r="C289" s="117">
        <f aca="true" t="shared" si="86" ref="C289:Q289">SUM(C291:C299)</f>
        <v>60706.65</v>
      </c>
      <c r="D289" s="78">
        <f t="shared" si="86"/>
        <v>4955.6</v>
      </c>
      <c r="E289" s="78">
        <f t="shared" si="86"/>
        <v>0</v>
      </c>
      <c r="F289" s="206">
        <f t="shared" si="86"/>
        <v>65662.25</v>
      </c>
      <c r="G289" s="150">
        <f t="shared" si="86"/>
        <v>25.95</v>
      </c>
      <c r="H289" s="176">
        <f t="shared" si="86"/>
        <v>0</v>
      </c>
      <c r="I289" s="189">
        <f t="shared" si="86"/>
        <v>65688.2</v>
      </c>
      <c r="J289" s="243">
        <f t="shared" si="86"/>
        <v>675</v>
      </c>
      <c r="K289" s="280">
        <f t="shared" si="86"/>
        <v>0</v>
      </c>
      <c r="L289" s="189">
        <f t="shared" si="86"/>
        <v>66363.2</v>
      </c>
      <c r="M289" s="298">
        <f t="shared" si="86"/>
        <v>4200</v>
      </c>
      <c r="N289" s="280">
        <f t="shared" si="86"/>
        <v>0</v>
      </c>
      <c r="O289" s="189">
        <f t="shared" si="86"/>
        <v>70563.2</v>
      </c>
      <c r="P289" s="243">
        <f t="shared" si="86"/>
        <v>0</v>
      </c>
      <c r="Q289" s="224">
        <f t="shared" si="86"/>
        <v>70563.2</v>
      </c>
    </row>
    <row r="290" spans="1:17" ht="12.75">
      <c r="A290" s="15" t="s">
        <v>27</v>
      </c>
      <c r="B290" s="45"/>
      <c r="C290" s="100"/>
      <c r="D290" s="75"/>
      <c r="E290" s="75"/>
      <c r="F290" s="144"/>
      <c r="G290" s="146"/>
      <c r="H290" s="173"/>
      <c r="I290" s="186"/>
      <c r="J290" s="229"/>
      <c r="K290" s="257"/>
      <c r="L290" s="186"/>
      <c r="M290" s="156"/>
      <c r="N290" s="257"/>
      <c r="O290" s="186"/>
      <c r="P290" s="239"/>
      <c r="Q290" s="256"/>
    </row>
    <row r="291" spans="1:17" ht="12.75">
      <c r="A291" s="13" t="s">
        <v>145</v>
      </c>
      <c r="B291" s="60"/>
      <c r="C291" s="100">
        <v>27295.94</v>
      </c>
      <c r="D291" s="75"/>
      <c r="E291" s="75"/>
      <c r="F291" s="144">
        <f aca="true" t="shared" si="87" ref="F291:F299">C291+D291+E291</f>
        <v>27295.94</v>
      </c>
      <c r="G291" s="146"/>
      <c r="H291" s="173"/>
      <c r="I291" s="186">
        <f>F291+G291+H291</f>
        <v>27295.94</v>
      </c>
      <c r="J291" s="229"/>
      <c r="K291" s="257"/>
      <c r="L291" s="186">
        <f>I291+J291+K291</f>
        <v>27295.94</v>
      </c>
      <c r="M291" s="156"/>
      <c r="N291" s="257"/>
      <c r="O291" s="186">
        <f>L291+M291+N291</f>
        <v>27295.94</v>
      </c>
      <c r="P291" s="239"/>
      <c r="Q291" s="256">
        <f>O291+P291</f>
        <v>27295.94</v>
      </c>
    </row>
    <row r="292" spans="1:17" ht="12.75">
      <c r="A292" s="13" t="s">
        <v>56</v>
      </c>
      <c r="B292" s="60"/>
      <c r="C292" s="100">
        <v>7685.31</v>
      </c>
      <c r="D292" s="75"/>
      <c r="E292" s="75"/>
      <c r="F292" s="144">
        <f t="shared" si="87"/>
        <v>7685.31</v>
      </c>
      <c r="G292" s="146"/>
      <c r="H292" s="173"/>
      <c r="I292" s="186">
        <f>F292+G292+H292</f>
        <v>7685.31</v>
      </c>
      <c r="J292" s="229"/>
      <c r="K292" s="257"/>
      <c r="L292" s="186">
        <f>I292+J292+K292</f>
        <v>7685.31</v>
      </c>
      <c r="M292" s="156"/>
      <c r="N292" s="257"/>
      <c r="O292" s="186">
        <f>L292+M292+N292</f>
        <v>7685.31</v>
      </c>
      <c r="P292" s="239"/>
      <c r="Q292" s="256">
        <f>O292+P292</f>
        <v>7685.31</v>
      </c>
    </row>
    <row r="293" spans="1:17" ht="12.75">
      <c r="A293" s="13" t="s">
        <v>270</v>
      </c>
      <c r="B293" s="60"/>
      <c r="C293" s="100">
        <v>1450</v>
      </c>
      <c r="D293" s="75"/>
      <c r="E293" s="75"/>
      <c r="F293" s="144">
        <f t="shared" si="87"/>
        <v>1450</v>
      </c>
      <c r="G293" s="146"/>
      <c r="H293" s="173"/>
      <c r="I293" s="186">
        <f>F293+G293+H293</f>
        <v>1450</v>
      </c>
      <c r="J293" s="229"/>
      <c r="K293" s="257"/>
      <c r="L293" s="186">
        <f>I293+J293+K293</f>
        <v>1450</v>
      </c>
      <c r="M293" s="156"/>
      <c r="N293" s="257"/>
      <c r="O293" s="186">
        <f>L293+M293+N293</f>
        <v>1450</v>
      </c>
      <c r="P293" s="239"/>
      <c r="Q293" s="256">
        <f>O293+P293</f>
        <v>1450</v>
      </c>
    </row>
    <row r="294" spans="1:17" ht="12.75">
      <c r="A294" s="13" t="s">
        <v>57</v>
      </c>
      <c r="B294" s="60"/>
      <c r="C294" s="100">
        <v>14175.4</v>
      </c>
      <c r="D294" s="75">
        <f>-70.1+1000</f>
        <v>929.9</v>
      </c>
      <c r="E294" s="75"/>
      <c r="F294" s="144">
        <f t="shared" si="87"/>
        <v>15105.3</v>
      </c>
      <c r="G294" s="146">
        <f>25.95</f>
        <v>25.95</v>
      </c>
      <c r="H294" s="173"/>
      <c r="I294" s="186">
        <f>F294+G294+H294</f>
        <v>15131.25</v>
      </c>
      <c r="J294" s="229">
        <v>500</v>
      </c>
      <c r="K294" s="257"/>
      <c r="L294" s="186">
        <f>I294+J294+K294</f>
        <v>15631.25</v>
      </c>
      <c r="M294" s="156"/>
      <c r="N294" s="257"/>
      <c r="O294" s="186">
        <f>L294+M294+N294</f>
        <v>15631.25</v>
      </c>
      <c r="P294" s="239"/>
      <c r="Q294" s="256">
        <f>O294+P294</f>
        <v>15631.25</v>
      </c>
    </row>
    <row r="295" spans="1:17" ht="12.75" hidden="1">
      <c r="A295" s="13" t="s">
        <v>87</v>
      </c>
      <c r="B295" s="60"/>
      <c r="C295" s="100"/>
      <c r="D295" s="75"/>
      <c r="E295" s="75"/>
      <c r="F295" s="144">
        <f t="shared" si="87"/>
        <v>0</v>
      </c>
      <c r="G295" s="146"/>
      <c r="H295" s="173"/>
      <c r="I295" s="186"/>
      <c r="J295" s="229"/>
      <c r="K295" s="257"/>
      <c r="L295" s="186"/>
      <c r="M295" s="156"/>
      <c r="N295" s="257"/>
      <c r="O295" s="186"/>
      <c r="P295" s="239"/>
      <c r="Q295" s="256"/>
    </row>
    <row r="296" spans="1:17" ht="12.75">
      <c r="A296" s="13" t="s">
        <v>58</v>
      </c>
      <c r="B296" s="60"/>
      <c r="C296" s="100">
        <v>500</v>
      </c>
      <c r="D296" s="75"/>
      <c r="E296" s="75"/>
      <c r="F296" s="144">
        <f t="shared" si="87"/>
        <v>500</v>
      </c>
      <c r="G296" s="146"/>
      <c r="H296" s="173"/>
      <c r="I296" s="186">
        <f>F296+G296+H296</f>
        <v>500</v>
      </c>
      <c r="J296" s="229"/>
      <c r="K296" s="257"/>
      <c r="L296" s="186">
        <f>I296+J296+K296</f>
        <v>500</v>
      </c>
      <c r="M296" s="156"/>
      <c r="N296" s="257"/>
      <c r="O296" s="186">
        <f>L296+M296+N296</f>
        <v>500</v>
      </c>
      <c r="P296" s="239"/>
      <c r="Q296" s="256">
        <f>O296+P296</f>
        <v>500</v>
      </c>
    </row>
    <row r="297" spans="1:17" ht="12.75">
      <c r="A297" s="13" t="s">
        <v>271</v>
      </c>
      <c r="B297" s="60"/>
      <c r="C297" s="100">
        <v>9000</v>
      </c>
      <c r="D297" s="75">
        <f>1300</f>
        <v>1300</v>
      </c>
      <c r="E297" s="75"/>
      <c r="F297" s="144">
        <f t="shared" si="87"/>
        <v>10300</v>
      </c>
      <c r="G297" s="146"/>
      <c r="H297" s="173"/>
      <c r="I297" s="186">
        <f>F297+G297+H297</f>
        <v>10300</v>
      </c>
      <c r="J297" s="229"/>
      <c r="K297" s="257"/>
      <c r="L297" s="186">
        <f>I297+J297+K297</f>
        <v>10300</v>
      </c>
      <c r="M297" s="156">
        <v>4200</v>
      </c>
      <c r="N297" s="257"/>
      <c r="O297" s="186">
        <f>L297+M297+N297</f>
        <v>14500</v>
      </c>
      <c r="P297" s="239"/>
      <c r="Q297" s="256">
        <f>O297+P297</f>
        <v>14500</v>
      </c>
    </row>
    <row r="298" spans="1:17" ht="12.75">
      <c r="A298" s="13" t="s">
        <v>272</v>
      </c>
      <c r="B298" s="60"/>
      <c r="C298" s="100">
        <v>600</v>
      </c>
      <c r="D298" s="75">
        <f>2725.7</f>
        <v>2725.7</v>
      </c>
      <c r="E298" s="75"/>
      <c r="F298" s="144">
        <f t="shared" si="87"/>
        <v>3325.7</v>
      </c>
      <c r="G298" s="146"/>
      <c r="H298" s="173"/>
      <c r="I298" s="186">
        <f>F298+G298+H298</f>
        <v>3325.7</v>
      </c>
      <c r="J298" s="229">
        <f>175</f>
        <v>175</v>
      </c>
      <c r="K298" s="257"/>
      <c r="L298" s="186">
        <f>I298+J298+K298</f>
        <v>3500.7</v>
      </c>
      <c r="M298" s="156"/>
      <c r="N298" s="257"/>
      <c r="O298" s="186">
        <f>L298+M298+N298</f>
        <v>3500.7</v>
      </c>
      <c r="P298" s="239"/>
      <c r="Q298" s="256">
        <f>O298+P298</f>
        <v>3500.7</v>
      </c>
    </row>
    <row r="299" spans="1:17" ht="12.75" hidden="1">
      <c r="A299" s="13" t="s">
        <v>59</v>
      </c>
      <c r="B299" s="60"/>
      <c r="C299" s="100"/>
      <c r="D299" s="75"/>
      <c r="E299" s="75"/>
      <c r="F299" s="144">
        <f t="shared" si="87"/>
        <v>0</v>
      </c>
      <c r="G299" s="146"/>
      <c r="H299" s="173"/>
      <c r="I299" s="186">
        <f>F299+G299+H299</f>
        <v>0</v>
      </c>
      <c r="J299" s="229"/>
      <c r="K299" s="257"/>
      <c r="L299" s="186">
        <f>I299+J299+K299</f>
        <v>0</v>
      </c>
      <c r="M299" s="156"/>
      <c r="N299" s="257"/>
      <c r="O299" s="186">
        <f>L299+M299+N299</f>
        <v>0</v>
      </c>
      <c r="P299" s="239"/>
      <c r="Q299" s="256">
        <f>O299+P299</f>
        <v>0</v>
      </c>
    </row>
    <row r="300" spans="1:17" ht="12.75">
      <c r="A300" s="20" t="s">
        <v>60</v>
      </c>
      <c r="B300" s="64"/>
      <c r="C300" s="119">
        <f aca="true" t="shared" si="88" ref="C300:Q300">SUM(C302:C306)</f>
        <v>0</v>
      </c>
      <c r="D300" s="80">
        <f t="shared" si="88"/>
        <v>1350</v>
      </c>
      <c r="E300" s="80">
        <f t="shared" si="88"/>
        <v>0</v>
      </c>
      <c r="F300" s="207">
        <f t="shared" si="88"/>
        <v>1350</v>
      </c>
      <c r="G300" s="151">
        <f t="shared" si="88"/>
        <v>0</v>
      </c>
      <c r="H300" s="177">
        <f t="shared" si="88"/>
        <v>0</v>
      </c>
      <c r="I300" s="190">
        <f t="shared" si="88"/>
        <v>1350</v>
      </c>
      <c r="J300" s="244">
        <f t="shared" si="88"/>
        <v>500</v>
      </c>
      <c r="K300" s="281">
        <f t="shared" si="88"/>
        <v>0</v>
      </c>
      <c r="L300" s="190">
        <f t="shared" si="88"/>
        <v>1850</v>
      </c>
      <c r="M300" s="299">
        <f t="shared" si="88"/>
        <v>300</v>
      </c>
      <c r="N300" s="281">
        <f t="shared" si="88"/>
        <v>0</v>
      </c>
      <c r="O300" s="190">
        <f t="shared" si="88"/>
        <v>2150</v>
      </c>
      <c r="P300" s="244">
        <f t="shared" si="88"/>
        <v>0</v>
      </c>
      <c r="Q300" s="225">
        <f t="shared" si="88"/>
        <v>2150</v>
      </c>
    </row>
    <row r="301" spans="1:17" ht="12.75">
      <c r="A301" s="11" t="s">
        <v>27</v>
      </c>
      <c r="B301" s="60"/>
      <c r="C301" s="96"/>
      <c r="D301" s="76"/>
      <c r="E301" s="76"/>
      <c r="F301" s="139"/>
      <c r="G301" s="148"/>
      <c r="H301" s="155"/>
      <c r="I301" s="187"/>
      <c r="J301" s="240"/>
      <c r="K301" s="260"/>
      <c r="L301" s="187"/>
      <c r="M301" s="296"/>
      <c r="N301" s="260"/>
      <c r="O301" s="187"/>
      <c r="P301" s="239"/>
      <c r="Q301" s="256"/>
    </row>
    <row r="302" spans="1:17" ht="12.75" hidden="1">
      <c r="A302" s="13" t="s">
        <v>162</v>
      </c>
      <c r="B302" s="60"/>
      <c r="C302" s="100"/>
      <c r="D302" s="75"/>
      <c r="E302" s="75"/>
      <c r="F302" s="144">
        <f>C302+D302+E302</f>
        <v>0</v>
      </c>
      <c r="G302" s="146"/>
      <c r="H302" s="173"/>
      <c r="I302" s="186">
        <f>F302+G302+H302</f>
        <v>0</v>
      </c>
      <c r="J302" s="229"/>
      <c r="K302" s="257"/>
      <c r="L302" s="186">
        <f>I302+J302+K302</f>
        <v>0</v>
      </c>
      <c r="M302" s="156"/>
      <c r="N302" s="257"/>
      <c r="O302" s="186">
        <f>L302+M302+N302</f>
        <v>0</v>
      </c>
      <c r="P302" s="239"/>
      <c r="Q302" s="256">
        <f>O302+P302</f>
        <v>0</v>
      </c>
    </row>
    <row r="303" spans="1:17" ht="12.75">
      <c r="A303" s="13" t="s">
        <v>271</v>
      </c>
      <c r="B303" s="60"/>
      <c r="C303" s="100"/>
      <c r="D303" s="75">
        <f>800</f>
        <v>800</v>
      </c>
      <c r="E303" s="75"/>
      <c r="F303" s="144">
        <f>C303+D303+E303</f>
        <v>800</v>
      </c>
      <c r="G303" s="146"/>
      <c r="H303" s="173"/>
      <c r="I303" s="186">
        <f>F303+G303+H303</f>
        <v>800</v>
      </c>
      <c r="J303" s="229">
        <f>500</f>
        <v>500</v>
      </c>
      <c r="K303" s="257"/>
      <c r="L303" s="186">
        <f>I303+J303+K303</f>
        <v>1300</v>
      </c>
      <c r="M303" s="156">
        <v>300</v>
      </c>
      <c r="N303" s="257"/>
      <c r="O303" s="186">
        <f>L303+M303+N303</f>
        <v>1600</v>
      </c>
      <c r="P303" s="239"/>
      <c r="Q303" s="256">
        <f>O303+P303</f>
        <v>1600</v>
      </c>
    </row>
    <row r="304" spans="1:17" ht="12.75">
      <c r="A304" s="13" t="s">
        <v>272</v>
      </c>
      <c r="B304" s="60"/>
      <c r="C304" s="100"/>
      <c r="D304" s="75">
        <f>300</f>
        <v>300</v>
      </c>
      <c r="E304" s="75"/>
      <c r="F304" s="144">
        <f>C304+D304+E304</f>
        <v>300</v>
      </c>
      <c r="G304" s="146"/>
      <c r="H304" s="173"/>
      <c r="I304" s="186">
        <f>F304+G304+H304</f>
        <v>300</v>
      </c>
      <c r="J304" s="229"/>
      <c r="K304" s="257"/>
      <c r="L304" s="186">
        <f>I304+J304+K304</f>
        <v>300</v>
      </c>
      <c r="M304" s="156"/>
      <c r="N304" s="257"/>
      <c r="O304" s="186">
        <f>L304+M304+N304</f>
        <v>300</v>
      </c>
      <c r="P304" s="239"/>
      <c r="Q304" s="256">
        <f>O304+P304</f>
        <v>300</v>
      </c>
    </row>
    <row r="305" spans="1:17" ht="12.75" hidden="1">
      <c r="A305" s="13" t="s">
        <v>59</v>
      </c>
      <c r="B305" s="60"/>
      <c r="C305" s="100"/>
      <c r="D305" s="75"/>
      <c r="E305" s="75"/>
      <c r="F305" s="144">
        <f>C305+D305+E305</f>
        <v>0</v>
      </c>
      <c r="G305" s="152"/>
      <c r="H305" s="178"/>
      <c r="I305" s="191">
        <f>F305+G305+H305</f>
        <v>0</v>
      </c>
      <c r="J305" s="245"/>
      <c r="K305" s="261"/>
      <c r="L305" s="191">
        <f>I305+J305+K305</f>
        <v>0</v>
      </c>
      <c r="M305" s="300"/>
      <c r="N305" s="261"/>
      <c r="O305" s="191">
        <f>L305+M305+N305</f>
        <v>0</v>
      </c>
      <c r="P305" s="262"/>
      <c r="Q305" s="263">
        <f>O305+P305</f>
        <v>0</v>
      </c>
    </row>
    <row r="306" spans="1:17" ht="12.75">
      <c r="A306" s="16" t="s">
        <v>61</v>
      </c>
      <c r="B306" s="63"/>
      <c r="C306" s="118"/>
      <c r="D306" s="79">
        <f>250</f>
        <v>250</v>
      </c>
      <c r="E306" s="79"/>
      <c r="F306" s="97">
        <f>C306+D306+E306</f>
        <v>250</v>
      </c>
      <c r="G306" s="152"/>
      <c r="H306" s="178"/>
      <c r="I306" s="191">
        <f>F306+G306+H306</f>
        <v>250</v>
      </c>
      <c r="J306" s="245"/>
      <c r="K306" s="261"/>
      <c r="L306" s="191">
        <f>I306+J306+K306</f>
        <v>250</v>
      </c>
      <c r="M306" s="300"/>
      <c r="N306" s="261"/>
      <c r="O306" s="191">
        <f>L306+M306+N306</f>
        <v>250</v>
      </c>
      <c r="P306" s="276"/>
      <c r="Q306" s="277">
        <f>O306+P306</f>
        <v>250</v>
      </c>
    </row>
    <row r="307" spans="1:17" ht="12.75">
      <c r="A307" s="10" t="s">
        <v>278</v>
      </c>
      <c r="B307" s="64"/>
      <c r="C307" s="105">
        <f aca="true" t="shared" si="89" ref="C307:Q307">C308+C328</f>
        <v>419866.13</v>
      </c>
      <c r="D307" s="74">
        <f t="shared" si="89"/>
        <v>24051.07</v>
      </c>
      <c r="E307" s="74">
        <f t="shared" si="89"/>
        <v>0</v>
      </c>
      <c r="F307" s="204">
        <f t="shared" si="89"/>
        <v>443917.19999999995</v>
      </c>
      <c r="G307" s="145">
        <f t="shared" si="89"/>
        <v>1318.44</v>
      </c>
      <c r="H307" s="172">
        <f t="shared" si="89"/>
        <v>0</v>
      </c>
      <c r="I307" s="185">
        <f t="shared" si="89"/>
        <v>445235.63999999996</v>
      </c>
      <c r="J307" s="238">
        <f t="shared" si="89"/>
        <v>1110.0900000000001</v>
      </c>
      <c r="K307" s="255">
        <f t="shared" si="89"/>
        <v>0</v>
      </c>
      <c r="L307" s="185">
        <f t="shared" si="89"/>
        <v>446345.73</v>
      </c>
      <c r="M307" s="254">
        <f t="shared" si="89"/>
        <v>29457.45</v>
      </c>
      <c r="N307" s="255">
        <f t="shared" si="89"/>
        <v>0</v>
      </c>
      <c r="O307" s="185">
        <f t="shared" si="89"/>
        <v>475803.18</v>
      </c>
      <c r="P307" s="238">
        <f t="shared" si="89"/>
        <v>0</v>
      </c>
      <c r="Q307" s="221">
        <f t="shared" si="89"/>
        <v>475610.96</v>
      </c>
    </row>
    <row r="308" spans="1:17" ht="12.75">
      <c r="A308" s="19" t="s">
        <v>55</v>
      </c>
      <c r="B308" s="64"/>
      <c r="C308" s="117">
        <f aca="true" t="shared" si="90" ref="C308:Q308">SUM(C310:C327)</f>
        <v>419866.13</v>
      </c>
      <c r="D308" s="78">
        <f t="shared" si="90"/>
        <v>14411.85</v>
      </c>
      <c r="E308" s="78">
        <f t="shared" si="90"/>
        <v>0</v>
      </c>
      <c r="F308" s="206">
        <f t="shared" si="90"/>
        <v>434277.98</v>
      </c>
      <c r="G308" s="150">
        <f t="shared" si="90"/>
        <v>1318.44</v>
      </c>
      <c r="H308" s="176">
        <f t="shared" si="90"/>
        <v>0</v>
      </c>
      <c r="I308" s="189">
        <f t="shared" si="90"/>
        <v>435596.42</v>
      </c>
      <c r="J308" s="243">
        <f t="shared" si="90"/>
        <v>1110.0900000000001</v>
      </c>
      <c r="K308" s="280">
        <f t="shared" si="90"/>
        <v>0</v>
      </c>
      <c r="L308" s="189">
        <f t="shared" si="90"/>
        <v>436706.51</v>
      </c>
      <c r="M308" s="298">
        <f t="shared" si="90"/>
        <v>5601.400000000001</v>
      </c>
      <c r="N308" s="280">
        <f t="shared" si="90"/>
        <v>0</v>
      </c>
      <c r="O308" s="189">
        <f t="shared" si="90"/>
        <v>442307.91</v>
      </c>
      <c r="P308" s="243">
        <f t="shared" si="90"/>
        <v>0</v>
      </c>
      <c r="Q308" s="224">
        <f t="shared" si="90"/>
        <v>442115.69</v>
      </c>
    </row>
    <row r="309" spans="1:17" ht="12.75">
      <c r="A309" s="15" t="s">
        <v>27</v>
      </c>
      <c r="B309" s="60"/>
      <c r="C309" s="100"/>
      <c r="D309" s="75"/>
      <c r="E309" s="75"/>
      <c r="F309" s="144"/>
      <c r="G309" s="146"/>
      <c r="H309" s="173"/>
      <c r="I309" s="186"/>
      <c r="J309" s="229"/>
      <c r="K309" s="257"/>
      <c r="L309" s="186"/>
      <c r="M309" s="156"/>
      <c r="N309" s="257"/>
      <c r="O309" s="186"/>
      <c r="P309" s="239"/>
      <c r="Q309" s="256"/>
    </row>
    <row r="310" spans="1:17" ht="12.75">
      <c r="A310" s="22" t="s">
        <v>146</v>
      </c>
      <c r="B310" s="60"/>
      <c r="C310" s="100">
        <v>217305.11</v>
      </c>
      <c r="D310" s="75">
        <f>1753.37</f>
        <v>1753.37</v>
      </c>
      <c r="E310" s="75"/>
      <c r="F310" s="144">
        <f aca="true" t="shared" si="91" ref="F310:F327">C310+D310+E310</f>
        <v>219058.47999999998</v>
      </c>
      <c r="G310" s="146">
        <f>250.48+12.3</f>
        <v>262.78</v>
      </c>
      <c r="H310" s="173"/>
      <c r="I310" s="186">
        <f>F310+G310+H310</f>
        <v>219321.25999999998</v>
      </c>
      <c r="J310" s="229">
        <f>119.99+300</f>
        <v>419.99</v>
      </c>
      <c r="K310" s="257"/>
      <c r="L310" s="186">
        <f>I310+J310+K310</f>
        <v>219741.24999999997</v>
      </c>
      <c r="M310" s="156"/>
      <c r="N310" s="257"/>
      <c r="O310" s="186">
        <f>L310+M310+N310</f>
        <v>219741.24999999997</v>
      </c>
      <c r="P310" s="239"/>
      <c r="Q310" s="256">
        <f aca="true" t="shared" si="92" ref="Q310:Q317">O310+P310</f>
        <v>219741.24999999997</v>
      </c>
    </row>
    <row r="311" spans="1:17" ht="12.75">
      <c r="A311" s="13" t="s">
        <v>56</v>
      </c>
      <c r="B311" s="60"/>
      <c r="C311" s="100">
        <v>74147.88</v>
      </c>
      <c r="D311" s="75">
        <f>603.6</f>
        <v>603.6</v>
      </c>
      <c r="E311" s="75"/>
      <c r="F311" s="144">
        <f t="shared" si="91"/>
        <v>74751.48000000001</v>
      </c>
      <c r="G311" s="146">
        <f>86.23</f>
        <v>86.23</v>
      </c>
      <c r="H311" s="173"/>
      <c r="I311" s="186">
        <f aca="true" t="shared" si="93" ref="I311:I322">F311+G311+H311</f>
        <v>74837.71</v>
      </c>
      <c r="J311" s="229">
        <f>41.31</f>
        <v>41.31</v>
      </c>
      <c r="K311" s="257"/>
      <c r="L311" s="186">
        <f aca="true" t="shared" si="94" ref="L311:L322">I311+J311+K311</f>
        <v>74879.02</v>
      </c>
      <c r="M311" s="156"/>
      <c r="N311" s="257"/>
      <c r="O311" s="186">
        <f aca="true" t="shared" si="95" ref="O311:O317">L311+M311+N311</f>
        <v>74879.02</v>
      </c>
      <c r="P311" s="239"/>
      <c r="Q311" s="256">
        <f t="shared" si="92"/>
        <v>74879.02</v>
      </c>
    </row>
    <row r="312" spans="1:17" ht="12.75">
      <c r="A312" s="13" t="s">
        <v>270</v>
      </c>
      <c r="B312" s="60"/>
      <c r="C312" s="100">
        <v>200</v>
      </c>
      <c r="D312" s="75"/>
      <c r="E312" s="75"/>
      <c r="F312" s="144">
        <f t="shared" si="91"/>
        <v>200</v>
      </c>
      <c r="G312" s="146"/>
      <c r="H312" s="173"/>
      <c r="I312" s="186">
        <f t="shared" si="93"/>
        <v>200</v>
      </c>
      <c r="J312" s="229">
        <f>4</f>
        <v>4</v>
      </c>
      <c r="K312" s="257"/>
      <c r="L312" s="186">
        <f t="shared" si="94"/>
        <v>204</v>
      </c>
      <c r="M312" s="156"/>
      <c r="N312" s="257"/>
      <c r="O312" s="186">
        <f t="shared" si="95"/>
        <v>204</v>
      </c>
      <c r="P312" s="239"/>
      <c r="Q312" s="256">
        <f t="shared" si="92"/>
        <v>204</v>
      </c>
    </row>
    <row r="313" spans="1:17" ht="12.75">
      <c r="A313" s="13" t="s">
        <v>57</v>
      </c>
      <c r="B313" s="60"/>
      <c r="C313" s="100">
        <v>62887.14</v>
      </c>
      <c r="D313" s="75">
        <f>80+11174+200+61.36</f>
        <v>11515.36</v>
      </c>
      <c r="E313" s="75"/>
      <c r="F313" s="144">
        <f t="shared" si="91"/>
        <v>74402.5</v>
      </c>
      <c r="G313" s="146">
        <f>8.77+200-12.3</f>
        <v>196.47</v>
      </c>
      <c r="H313" s="173"/>
      <c r="I313" s="186">
        <f t="shared" si="93"/>
        <v>74598.97</v>
      </c>
      <c r="J313" s="229">
        <f>4.2-4+21.72</f>
        <v>21.919999999999998</v>
      </c>
      <c r="K313" s="257"/>
      <c r="L313" s="186">
        <f t="shared" si="94"/>
        <v>74620.89</v>
      </c>
      <c r="M313" s="156"/>
      <c r="N313" s="257"/>
      <c r="O313" s="186">
        <f t="shared" si="95"/>
        <v>74620.89</v>
      </c>
      <c r="P313" s="239"/>
      <c r="Q313" s="256">
        <f t="shared" si="92"/>
        <v>74620.89</v>
      </c>
    </row>
    <row r="314" spans="1:17" ht="12.75">
      <c r="A314" s="13" t="s">
        <v>62</v>
      </c>
      <c r="B314" s="60">
        <v>1115</v>
      </c>
      <c r="C314" s="100">
        <v>462</v>
      </c>
      <c r="D314" s="75"/>
      <c r="E314" s="75"/>
      <c r="F314" s="144">
        <f t="shared" si="91"/>
        <v>462</v>
      </c>
      <c r="G314" s="146"/>
      <c r="H314" s="173"/>
      <c r="I314" s="186">
        <f t="shared" si="93"/>
        <v>462</v>
      </c>
      <c r="J314" s="229"/>
      <c r="K314" s="257"/>
      <c r="L314" s="186">
        <f t="shared" si="94"/>
        <v>462</v>
      </c>
      <c r="M314" s="156"/>
      <c r="N314" s="257"/>
      <c r="O314" s="186">
        <f t="shared" si="95"/>
        <v>462</v>
      </c>
      <c r="P314" s="239"/>
      <c r="Q314" s="256">
        <f t="shared" si="92"/>
        <v>462</v>
      </c>
    </row>
    <row r="315" spans="1:17" ht="12.75" hidden="1">
      <c r="A315" s="13" t="s">
        <v>63</v>
      </c>
      <c r="B315" s="60"/>
      <c r="C315" s="100"/>
      <c r="D315" s="75"/>
      <c r="E315" s="75"/>
      <c r="F315" s="144">
        <f t="shared" si="91"/>
        <v>0</v>
      </c>
      <c r="G315" s="146"/>
      <c r="H315" s="173"/>
      <c r="I315" s="186">
        <f t="shared" si="93"/>
        <v>0</v>
      </c>
      <c r="J315" s="229"/>
      <c r="K315" s="257"/>
      <c r="L315" s="186">
        <f t="shared" si="94"/>
        <v>0</v>
      </c>
      <c r="M315" s="156"/>
      <c r="N315" s="257"/>
      <c r="O315" s="186">
        <f t="shared" si="95"/>
        <v>0</v>
      </c>
      <c r="P315" s="239"/>
      <c r="Q315" s="256">
        <f t="shared" si="92"/>
        <v>0</v>
      </c>
    </row>
    <row r="316" spans="1:17" ht="12.75">
      <c r="A316" s="13" t="s">
        <v>64</v>
      </c>
      <c r="B316" s="60">
        <v>51</v>
      </c>
      <c r="C316" s="100">
        <v>64864</v>
      </c>
      <c r="D316" s="75"/>
      <c r="E316" s="75"/>
      <c r="F316" s="144">
        <f t="shared" si="91"/>
        <v>64864</v>
      </c>
      <c r="G316" s="146"/>
      <c r="H316" s="173"/>
      <c r="I316" s="186">
        <f t="shared" si="93"/>
        <v>64864</v>
      </c>
      <c r="J316" s="229"/>
      <c r="K316" s="257"/>
      <c r="L316" s="186">
        <f t="shared" si="94"/>
        <v>64864</v>
      </c>
      <c r="M316" s="156"/>
      <c r="N316" s="257"/>
      <c r="O316" s="186">
        <f t="shared" si="95"/>
        <v>64864</v>
      </c>
      <c r="P316" s="239"/>
      <c r="Q316" s="256">
        <f t="shared" si="92"/>
        <v>64864</v>
      </c>
    </row>
    <row r="317" spans="1:17" ht="12.75">
      <c r="A317" s="13" t="s">
        <v>86</v>
      </c>
      <c r="B317" s="60"/>
      <c r="C317" s="100"/>
      <c r="D317" s="75">
        <f>475+49.52</f>
        <v>524.52</v>
      </c>
      <c r="E317" s="75"/>
      <c r="F317" s="144">
        <f t="shared" si="91"/>
        <v>524.52</v>
      </c>
      <c r="G317" s="146"/>
      <c r="H317" s="173"/>
      <c r="I317" s="186">
        <f t="shared" si="93"/>
        <v>524.52</v>
      </c>
      <c r="J317" s="229"/>
      <c r="K317" s="257"/>
      <c r="L317" s="186">
        <f t="shared" si="94"/>
        <v>524.52</v>
      </c>
      <c r="M317" s="156">
        <v>5409.18</v>
      </c>
      <c r="N317" s="257"/>
      <c r="O317" s="186">
        <f t="shared" si="95"/>
        <v>5933.700000000001</v>
      </c>
      <c r="P317" s="239"/>
      <c r="Q317" s="256">
        <f t="shared" si="92"/>
        <v>5933.700000000001</v>
      </c>
    </row>
    <row r="318" spans="1:17" ht="12.75" hidden="1">
      <c r="A318" s="13" t="s">
        <v>216</v>
      </c>
      <c r="B318" s="60">
        <v>13234</v>
      </c>
      <c r="C318" s="100"/>
      <c r="D318" s="75"/>
      <c r="E318" s="75"/>
      <c r="F318" s="144">
        <f t="shared" si="91"/>
        <v>0</v>
      </c>
      <c r="G318" s="146"/>
      <c r="H318" s="173"/>
      <c r="I318" s="186">
        <f t="shared" si="93"/>
        <v>0</v>
      </c>
      <c r="J318" s="229"/>
      <c r="K318" s="257"/>
      <c r="L318" s="186">
        <f t="shared" si="94"/>
        <v>0</v>
      </c>
      <c r="M318" s="156"/>
      <c r="N318" s="257"/>
      <c r="O318" s="186"/>
      <c r="P318" s="239"/>
      <c r="Q318" s="256"/>
    </row>
    <row r="319" spans="1:17" ht="12.75" hidden="1">
      <c r="A319" s="13" t="s">
        <v>65</v>
      </c>
      <c r="B319" s="60"/>
      <c r="C319" s="100"/>
      <c r="D319" s="75"/>
      <c r="E319" s="75"/>
      <c r="F319" s="144">
        <f t="shared" si="91"/>
        <v>0</v>
      </c>
      <c r="G319" s="146"/>
      <c r="H319" s="173"/>
      <c r="I319" s="186">
        <f t="shared" si="93"/>
        <v>0</v>
      </c>
      <c r="J319" s="229"/>
      <c r="K319" s="257"/>
      <c r="L319" s="186">
        <f t="shared" si="94"/>
        <v>0</v>
      </c>
      <c r="M319" s="156"/>
      <c r="N319" s="257"/>
      <c r="O319" s="186">
        <f>L319+M319+N319</f>
        <v>0</v>
      </c>
      <c r="P319" s="239"/>
      <c r="Q319" s="256">
        <f>O319+P319</f>
        <v>0</v>
      </c>
    </row>
    <row r="320" spans="1:17" ht="12.75" hidden="1">
      <c r="A320" s="13" t="s">
        <v>281</v>
      </c>
      <c r="B320" s="60">
        <v>98008</v>
      </c>
      <c r="C320" s="100"/>
      <c r="D320" s="75"/>
      <c r="E320" s="75"/>
      <c r="F320" s="144">
        <f t="shared" si="91"/>
        <v>0</v>
      </c>
      <c r="G320" s="146"/>
      <c r="H320" s="173"/>
      <c r="I320" s="186">
        <f t="shared" si="93"/>
        <v>0</v>
      </c>
      <c r="J320" s="229"/>
      <c r="K320" s="257"/>
      <c r="L320" s="186">
        <f t="shared" si="94"/>
        <v>0</v>
      </c>
      <c r="M320" s="156"/>
      <c r="N320" s="257"/>
      <c r="O320" s="186"/>
      <c r="P320" s="239"/>
      <c r="Q320" s="256"/>
    </row>
    <row r="321" spans="1:17" ht="12.75" hidden="1">
      <c r="A321" s="13" t="s">
        <v>282</v>
      </c>
      <c r="B321" s="60">
        <v>98071</v>
      </c>
      <c r="C321" s="100"/>
      <c r="D321" s="75"/>
      <c r="E321" s="75"/>
      <c r="F321" s="144">
        <f t="shared" si="91"/>
        <v>0</v>
      </c>
      <c r="G321" s="146"/>
      <c r="H321" s="173"/>
      <c r="I321" s="186">
        <f t="shared" si="93"/>
        <v>0</v>
      </c>
      <c r="J321" s="229"/>
      <c r="K321" s="257"/>
      <c r="L321" s="186">
        <f t="shared" si="94"/>
        <v>0</v>
      </c>
      <c r="M321" s="156"/>
      <c r="N321" s="257"/>
      <c r="O321" s="186"/>
      <c r="P321" s="239"/>
      <c r="Q321" s="256"/>
    </row>
    <row r="322" spans="1:17" ht="12.75">
      <c r="A322" s="13" t="s">
        <v>66</v>
      </c>
      <c r="B322" s="60">
        <v>98074</v>
      </c>
      <c r="C322" s="100"/>
      <c r="D322" s="75">
        <f>15</f>
        <v>15</v>
      </c>
      <c r="E322" s="75"/>
      <c r="F322" s="144">
        <f t="shared" si="91"/>
        <v>15</v>
      </c>
      <c r="G322" s="146">
        <f>15</f>
        <v>15</v>
      </c>
      <c r="H322" s="173"/>
      <c r="I322" s="186">
        <f t="shared" si="93"/>
        <v>30</v>
      </c>
      <c r="J322" s="229"/>
      <c r="K322" s="257"/>
      <c r="L322" s="186">
        <f t="shared" si="94"/>
        <v>30</v>
      </c>
      <c r="M322" s="156"/>
      <c r="N322" s="257"/>
      <c r="O322" s="186">
        <f aca="true" t="shared" si="96" ref="O322:O327">L322+M322+N322</f>
        <v>30</v>
      </c>
      <c r="P322" s="239"/>
      <c r="Q322" s="256">
        <f>O322+P322</f>
        <v>30</v>
      </c>
    </row>
    <row r="323" spans="1:17" ht="12.75" hidden="1">
      <c r="A323" s="13" t="s">
        <v>67</v>
      </c>
      <c r="B323" s="60"/>
      <c r="C323" s="100"/>
      <c r="D323" s="75"/>
      <c r="E323" s="75"/>
      <c r="F323" s="144">
        <f t="shared" si="91"/>
        <v>0</v>
      </c>
      <c r="G323" s="146"/>
      <c r="H323" s="173"/>
      <c r="I323" s="186">
        <f>F323+G323+H323</f>
        <v>0</v>
      </c>
      <c r="J323" s="229"/>
      <c r="K323" s="257"/>
      <c r="L323" s="186">
        <f>I323+J323+K323</f>
        <v>0</v>
      </c>
      <c r="M323" s="156"/>
      <c r="N323" s="257"/>
      <c r="O323" s="186">
        <f t="shared" si="96"/>
        <v>0</v>
      </c>
      <c r="P323" s="239"/>
      <c r="Q323" s="256">
        <f>O323+P323</f>
        <v>0</v>
      </c>
    </row>
    <row r="324" spans="1:17" ht="12.75">
      <c r="A324" s="13" t="s">
        <v>383</v>
      </c>
      <c r="B324" s="60">
        <v>98348</v>
      </c>
      <c r="C324" s="100"/>
      <c r="D324" s="75"/>
      <c r="E324" s="75"/>
      <c r="F324" s="144">
        <f t="shared" si="91"/>
        <v>0</v>
      </c>
      <c r="G324" s="146">
        <f>200</f>
        <v>200</v>
      </c>
      <c r="H324" s="173"/>
      <c r="I324" s="186">
        <f>F324+G324+H324</f>
        <v>200</v>
      </c>
      <c r="J324" s="229"/>
      <c r="K324" s="257"/>
      <c r="L324" s="186">
        <f>I324+J324+K324</f>
        <v>200</v>
      </c>
      <c r="M324" s="156"/>
      <c r="N324" s="257"/>
      <c r="O324" s="186">
        <f t="shared" si="96"/>
        <v>200</v>
      </c>
      <c r="P324" s="239"/>
      <c r="Q324" s="256">
        <f>O324+P324</f>
        <v>200</v>
      </c>
    </row>
    <row r="325" spans="1:17" ht="12.75">
      <c r="A325" s="13" t="s">
        <v>384</v>
      </c>
      <c r="B325" s="60">
        <v>13015</v>
      </c>
      <c r="C325" s="100"/>
      <c r="D325" s="75"/>
      <c r="E325" s="75"/>
      <c r="F325" s="144">
        <f t="shared" si="91"/>
        <v>0</v>
      </c>
      <c r="G325" s="146">
        <f>557.96</f>
        <v>557.96</v>
      </c>
      <c r="H325" s="173"/>
      <c r="I325" s="186">
        <f>F325+G325+H325</f>
        <v>557.96</v>
      </c>
      <c r="J325" s="229">
        <f>397.87</f>
        <v>397.87</v>
      </c>
      <c r="K325" s="257"/>
      <c r="L325" s="186">
        <f>I325+J325+K325</f>
        <v>955.83</v>
      </c>
      <c r="M325" s="156"/>
      <c r="N325" s="257"/>
      <c r="O325" s="186">
        <f t="shared" si="96"/>
        <v>955.83</v>
      </c>
      <c r="P325" s="239"/>
      <c r="Q325" s="256">
        <f>O325+P325</f>
        <v>955.83</v>
      </c>
    </row>
    <row r="326" spans="1:17" ht="12.75">
      <c r="A326" s="13" t="s">
        <v>392</v>
      </c>
      <c r="B326" s="60">
        <v>13014</v>
      </c>
      <c r="C326" s="100"/>
      <c r="D326" s="75"/>
      <c r="E326" s="75"/>
      <c r="F326" s="144"/>
      <c r="G326" s="146"/>
      <c r="H326" s="173"/>
      <c r="I326" s="186"/>
      <c r="J326" s="229"/>
      <c r="K326" s="257"/>
      <c r="L326" s="186"/>
      <c r="M326" s="156">
        <v>192.22</v>
      </c>
      <c r="N326" s="257"/>
      <c r="O326" s="186">
        <f t="shared" si="96"/>
        <v>192.22</v>
      </c>
      <c r="P326" s="239"/>
      <c r="Q326" s="256"/>
    </row>
    <row r="327" spans="1:17" ht="12.75">
      <c r="A327" s="13" t="s">
        <v>68</v>
      </c>
      <c r="B327" s="60">
        <v>4001</v>
      </c>
      <c r="C327" s="100"/>
      <c r="D327" s="75"/>
      <c r="E327" s="75"/>
      <c r="F327" s="144">
        <f t="shared" si="91"/>
        <v>0</v>
      </c>
      <c r="G327" s="146"/>
      <c r="H327" s="173"/>
      <c r="I327" s="186">
        <f>F327+G327+H327</f>
        <v>0</v>
      </c>
      <c r="J327" s="229">
        <f>225</f>
        <v>225</v>
      </c>
      <c r="K327" s="257"/>
      <c r="L327" s="186">
        <f>I327+J327+K327</f>
        <v>225</v>
      </c>
      <c r="M327" s="156"/>
      <c r="N327" s="257"/>
      <c r="O327" s="186">
        <f t="shared" si="96"/>
        <v>225</v>
      </c>
      <c r="P327" s="239"/>
      <c r="Q327" s="256">
        <f>O327+P327</f>
        <v>225</v>
      </c>
    </row>
    <row r="328" spans="1:17" ht="12.75">
      <c r="A328" s="19" t="s">
        <v>60</v>
      </c>
      <c r="B328" s="64"/>
      <c r="C328" s="117">
        <f>C331+C330</f>
        <v>0</v>
      </c>
      <c r="D328" s="78">
        <f aca="true" t="shared" si="97" ref="D328:Q328">D331+D330</f>
        <v>9639.22</v>
      </c>
      <c r="E328" s="78">
        <f t="shared" si="97"/>
        <v>0</v>
      </c>
      <c r="F328" s="206">
        <f t="shared" si="97"/>
        <v>9639.22</v>
      </c>
      <c r="G328" s="150">
        <f t="shared" si="97"/>
        <v>0</v>
      </c>
      <c r="H328" s="176">
        <f t="shared" si="97"/>
        <v>0</v>
      </c>
      <c r="I328" s="189">
        <f t="shared" si="97"/>
        <v>9639.22</v>
      </c>
      <c r="J328" s="243">
        <f t="shared" si="97"/>
        <v>0</v>
      </c>
      <c r="K328" s="280">
        <f t="shared" si="97"/>
        <v>0</v>
      </c>
      <c r="L328" s="189">
        <f t="shared" si="97"/>
        <v>9639.22</v>
      </c>
      <c r="M328" s="298">
        <f t="shared" si="97"/>
        <v>23856.05</v>
      </c>
      <c r="N328" s="280">
        <f t="shared" si="97"/>
        <v>0</v>
      </c>
      <c r="O328" s="189">
        <f t="shared" si="97"/>
        <v>33495.27</v>
      </c>
      <c r="P328" s="243">
        <f t="shared" si="97"/>
        <v>0</v>
      </c>
      <c r="Q328" s="224">
        <f t="shared" si="97"/>
        <v>33495.27</v>
      </c>
    </row>
    <row r="329" spans="1:17" ht="12.75">
      <c r="A329" s="15" t="s">
        <v>27</v>
      </c>
      <c r="B329" s="60"/>
      <c r="C329" s="100"/>
      <c r="D329" s="75"/>
      <c r="E329" s="75"/>
      <c r="F329" s="204"/>
      <c r="G329" s="146"/>
      <c r="H329" s="173"/>
      <c r="I329" s="185"/>
      <c r="J329" s="229"/>
      <c r="K329" s="257"/>
      <c r="L329" s="185"/>
      <c r="M329" s="156"/>
      <c r="N329" s="257"/>
      <c r="O329" s="185"/>
      <c r="P329" s="239"/>
      <c r="Q329" s="256"/>
    </row>
    <row r="330" spans="1:17" ht="12.75" hidden="1">
      <c r="A330" s="12" t="s">
        <v>61</v>
      </c>
      <c r="B330" s="60"/>
      <c r="C330" s="100"/>
      <c r="D330" s="75"/>
      <c r="E330" s="75"/>
      <c r="F330" s="144">
        <f>C330+D330+E330</f>
        <v>0</v>
      </c>
      <c r="G330" s="146"/>
      <c r="H330" s="173"/>
      <c r="I330" s="186">
        <f>F330+G330+H330</f>
        <v>0</v>
      </c>
      <c r="J330" s="229"/>
      <c r="K330" s="257"/>
      <c r="L330" s="186">
        <f>I330+J330+K330</f>
        <v>0</v>
      </c>
      <c r="M330" s="156"/>
      <c r="N330" s="257"/>
      <c r="O330" s="186">
        <f>L330+M330+N330</f>
        <v>0</v>
      </c>
      <c r="P330" s="239"/>
      <c r="Q330" s="256">
        <f>O330+P330</f>
        <v>0</v>
      </c>
    </row>
    <row r="331" spans="1:17" ht="12.75">
      <c r="A331" s="16" t="s">
        <v>87</v>
      </c>
      <c r="B331" s="63"/>
      <c r="C331" s="118"/>
      <c r="D331" s="79">
        <f>3071+5849.48+718.74</f>
        <v>9639.22</v>
      </c>
      <c r="E331" s="79"/>
      <c r="F331" s="97">
        <f>C331+D331+E331</f>
        <v>9639.22</v>
      </c>
      <c r="G331" s="152"/>
      <c r="H331" s="178"/>
      <c r="I331" s="191">
        <f>F331+G331+H331</f>
        <v>9639.22</v>
      </c>
      <c r="J331" s="245"/>
      <c r="K331" s="261"/>
      <c r="L331" s="191">
        <f>I331+J331+K331</f>
        <v>9639.22</v>
      </c>
      <c r="M331" s="300">
        <v>23856.05</v>
      </c>
      <c r="N331" s="261"/>
      <c r="O331" s="191">
        <f>L331+M331+N331</f>
        <v>33495.27</v>
      </c>
      <c r="P331" s="262"/>
      <c r="Q331" s="263">
        <f>O331+P331</f>
        <v>33495.27</v>
      </c>
    </row>
    <row r="332" spans="1:17" ht="12.75">
      <c r="A332" s="25" t="s">
        <v>174</v>
      </c>
      <c r="B332" s="65"/>
      <c r="C332" s="105">
        <f aca="true" t="shared" si="98" ref="C332:Q332">C333+C358</f>
        <v>856277.74</v>
      </c>
      <c r="D332" s="74">
        <f t="shared" si="98"/>
        <v>1510596.3699999999</v>
      </c>
      <c r="E332" s="74">
        <f t="shared" si="98"/>
        <v>-392.57</v>
      </c>
      <c r="F332" s="204">
        <f t="shared" si="98"/>
        <v>2366481.5400000005</v>
      </c>
      <c r="G332" s="145">
        <f t="shared" si="98"/>
        <v>447401.5</v>
      </c>
      <c r="H332" s="172">
        <f t="shared" si="98"/>
        <v>0</v>
      </c>
      <c r="I332" s="185">
        <f t="shared" si="98"/>
        <v>2813883.04</v>
      </c>
      <c r="J332" s="238">
        <f t="shared" si="98"/>
        <v>464837.79000000004</v>
      </c>
      <c r="K332" s="255">
        <f t="shared" si="98"/>
        <v>0</v>
      </c>
      <c r="L332" s="185">
        <f t="shared" si="98"/>
        <v>3278720.83</v>
      </c>
      <c r="M332" s="254">
        <f t="shared" si="98"/>
        <v>348433.07999999996</v>
      </c>
      <c r="N332" s="255">
        <f t="shared" si="98"/>
        <v>-4.547473508864641E-13</v>
      </c>
      <c r="O332" s="185">
        <f t="shared" si="98"/>
        <v>3627153.91</v>
      </c>
      <c r="P332" s="238">
        <f t="shared" si="98"/>
        <v>0</v>
      </c>
      <c r="Q332" s="221">
        <f t="shared" si="98"/>
        <v>3625218.2700000005</v>
      </c>
    </row>
    <row r="333" spans="1:17" ht="12.75">
      <c r="A333" s="19" t="s">
        <v>55</v>
      </c>
      <c r="B333" s="64"/>
      <c r="C333" s="117">
        <f aca="true" t="shared" si="99" ref="C333:Q333">SUM(C335:C346)</f>
        <v>81041.73999999999</v>
      </c>
      <c r="D333" s="78">
        <f t="shared" si="99"/>
        <v>37300.939999999995</v>
      </c>
      <c r="E333" s="78">
        <f t="shared" si="99"/>
        <v>0</v>
      </c>
      <c r="F333" s="206">
        <f t="shared" si="99"/>
        <v>118342.68</v>
      </c>
      <c r="G333" s="150">
        <f t="shared" si="99"/>
        <v>1902.61</v>
      </c>
      <c r="H333" s="176">
        <f t="shared" si="99"/>
        <v>0</v>
      </c>
      <c r="I333" s="189">
        <f t="shared" si="99"/>
        <v>120245.29000000001</v>
      </c>
      <c r="J333" s="243">
        <f t="shared" si="99"/>
        <v>-8013.129999999999</v>
      </c>
      <c r="K333" s="280">
        <f t="shared" si="99"/>
        <v>0</v>
      </c>
      <c r="L333" s="189">
        <f t="shared" si="99"/>
        <v>112232.16</v>
      </c>
      <c r="M333" s="298">
        <f t="shared" si="99"/>
        <v>-1665.1699999999998</v>
      </c>
      <c r="N333" s="280">
        <f t="shared" si="99"/>
        <v>348.52</v>
      </c>
      <c r="O333" s="189">
        <f t="shared" si="99"/>
        <v>110915.51</v>
      </c>
      <c r="P333" s="243">
        <f t="shared" si="99"/>
        <v>0</v>
      </c>
      <c r="Q333" s="224">
        <f t="shared" si="99"/>
        <v>110610.23999999999</v>
      </c>
    </row>
    <row r="334" spans="1:17" ht="12.75">
      <c r="A334" s="15" t="s">
        <v>27</v>
      </c>
      <c r="B334" s="60"/>
      <c r="C334" s="117"/>
      <c r="D334" s="94"/>
      <c r="E334" s="94"/>
      <c r="F334" s="206"/>
      <c r="G334" s="146"/>
      <c r="H334" s="173"/>
      <c r="I334" s="186"/>
      <c r="J334" s="229"/>
      <c r="K334" s="257"/>
      <c r="L334" s="186"/>
      <c r="M334" s="264"/>
      <c r="N334" s="257"/>
      <c r="O334" s="186"/>
      <c r="P334" s="239"/>
      <c r="Q334" s="256"/>
    </row>
    <row r="335" spans="1:17" ht="12.75">
      <c r="A335" s="17" t="s">
        <v>57</v>
      </c>
      <c r="B335" s="60"/>
      <c r="C335" s="100">
        <v>2645.9</v>
      </c>
      <c r="D335" s="81">
        <f>52.8</f>
        <v>52.8</v>
      </c>
      <c r="E335" s="81"/>
      <c r="F335" s="144">
        <f aca="true" t="shared" si="100" ref="F335:F357">C335+D335+E335</f>
        <v>2698.7000000000003</v>
      </c>
      <c r="G335" s="146"/>
      <c r="H335" s="173"/>
      <c r="I335" s="186">
        <f aca="true" t="shared" si="101" ref="I335:I357">F335+G335+H335</f>
        <v>2698.7000000000003</v>
      </c>
      <c r="J335" s="229"/>
      <c r="K335" s="257"/>
      <c r="L335" s="186">
        <f aca="true" t="shared" si="102" ref="L335:L357">I335+J335+K335</f>
        <v>2698.7000000000003</v>
      </c>
      <c r="M335" s="264">
        <v>-500</v>
      </c>
      <c r="N335" s="257"/>
      <c r="O335" s="186">
        <f>L335+M335+N335</f>
        <v>2198.7000000000003</v>
      </c>
      <c r="P335" s="239"/>
      <c r="Q335" s="256">
        <f>O335+P335</f>
        <v>2198.7000000000003</v>
      </c>
    </row>
    <row r="336" spans="1:17" ht="12.75">
      <c r="A336" s="17" t="s">
        <v>184</v>
      </c>
      <c r="B336" s="60">
        <v>1080</v>
      </c>
      <c r="C336" s="100"/>
      <c r="D336" s="81">
        <f>1493.12</f>
        <v>1493.12</v>
      </c>
      <c r="E336" s="81"/>
      <c r="F336" s="144">
        <f t="shared" si="100"/>
        <v>1493.12</v>
      </c>
      <c r="G336" s="146"/>
      <c r="H336" s="173"/>
      <c r="I336" s="186">
        <f t="shared" si="101"/>
        <v>1493.12</v>
      </c>
      <c r="J336" s="229"/>
      <c r="K336" s="257"/>
      <c r="L336" s="186">
        <f t="shared" si="102"/>
        <v>1493.12</v>
      </c>
      <c r="M336" s="264"/>
      <c r="N336" s="257"/>
      <c r="O336" s="186">
        <f aca="true" t="shared" si="103" ref="O336:O357">L336+M336+N336</f>
        <v>1493.12</v>
      </c>
      <c r="P336" s="239"/>
      <c r="Q336" s="256">
        <f aca="true" t="shared" si="104" ref="Q336:Q357">O336+P336</f>
        <v>1493.12</v>
      </c>
    </row>
    <row r="337" spans="1:17" ht="12.75">
      <c r="A337" s="17" t="s">
        <v>185</v>
      </c>
      <c r="B337" s="138">
        <v>1081.1202</v>
      </c>
      <c r="C337" s="100">
        <v>2502</v>
      </c>
      <c r="D337" s="81">
        <f>1114.97</f>
        <v>1114.97</v>
      </c>
      <c r="E337" s="81"/>
      <c r="F337" s="144">
        <f t="shared" si="100"/>
        <v>3616.9700000000003</v>
      </c>
      <c r="G337" s="146"/>
      <c r="H337" s="173"/>
      <c r="I337" s="186">
        <f t="shared" si="101"/>
        <v>3616.9700000000003</v>
      </c>
      <c r="J337" s="229"/>
      <c r="K337" s="257"/>
      <c r="L337" s="186">
        <f t="shared" si="102"/>
        <v>3616.9700000000003</v>
      </c>
      <c r="M337" s="264"/>
      <c r="N337" s="257"/>
      <c r="O337" s="186">
        <f t="shared" si="103"/>
        <v>3616.9700000000003</v>
      </c>
      <c r="P337" s="239"/>
      <c r="Q337" s="256">
        <f t="shared" si="104"/>
        <v>3616.9700000000003</v>
      </c>
    </row>
    <row r="338" spans="1:17" ht="12.75">
      <c r="A338" s="61" t="s">
        <v>90</v>
      </c>
      <c r="B338" s="60"/>
      <c r="C338" s="100">
        <v>550</v>
      </c>
      <c r="D338" s="81"/>
      <c r="E338" s="81"/>
      <c r="F338" s="144">
        <f t="shared" si="100"/>
        <v>550</v>
      </c>
      <c r="G338" s="146"/>
      <c r="H338" s="173"/>
      <c r="I338" s="186">
        <f t="shared" si="101"/>
        <v>550</v>
      </c>
      <c r="J338" s="229"/>
      <c r="K338" s="257"/>
      <c r="L338" s="186">
        <f t="shared" si="102"/>
        <v>550</v>
      </c>
      <c r="M338" s="264"/>
      <c r="N338" s="257"/>
      <c r="O338" s="186">
        <f t="shared" si="103"/>
        <v>550</v>
      </c>
      <c r="P338" s="239"/>
      <c r="Q338" s="256">
        <f t="shared" si="104"/>
        <v>550</v>
      </c>
    </row>
    <row r="339" spans="1:17" ht="12.75">
      <c r="A339" s="13" t="s">
        <v>192</v>
      </c>
      <c r="B339" s="60"/>
      <c r="C339" s="100">
        <v>34518.84</v>
      </c>
      <c r="D339" s="81">
        <f>-300</f>
        <v>-300</v>
      </c>
      <c r="E339" s="81"/>
      <c r="F339" s="144">
        <f t="shared" si="100"/>
        <v>34218.84</v>
      </c>
      <c r="G339" s="146"/>
      <c r="H339" s="173"/>
      <c r="I339" s="186">
        <f t="shared" si="101"/>
        <v>34218.84</v>
      </c>
      <c r="J339" s="229"/>
      <c r="K339" s="257"/>
      <c r="L339" s="186">
        <f t="shared" si="102"/>
        <v>34218.84</v>
      </c>
      <c r="M339" s="264"/>
      <c r="N339" s="257"/>
      <c r="O339" s="186">
        <f t="shared" si="103"/>
        <v>34218.84</v>
      </c>
      <c r="P339" s="239"/>
      <c r="Q339" s="256">
        <f t="shared" si="104"/>
        <v>34218.84</v>
      </c>
    </row>
    <row r="340" spans="1:17" ht="12.75">
      <c r="A340" s="17" t="s">
        <v>252</v>
      </c>
      <c r="B340" s="60"/>
      <c r="C340" s="100"/>
      <c r="D340" s="81">
        <f>500</f>
        <v>500</v>
      </c>
      <c r="E340" s="81"/>
      <c r="F340" s="144">
        <f t="shared" si="100"/>
        <v>500</v>
      </c>
      <c r="G340" s="146"/>
      <c r="H340" s="173"/>
      <c r="I340" s="186">
        <f t="shared" si="101"/>
        <v>500</v>
      </c>
      <c r="J340" s="229"/>
      <c r="K340" s="257"/>
      <c r="L340" s="186">
        <f t="shared" si="102"/>
        <v>500</v>
      </c>
      <c r="M340" s="264"/>
      <c r="N340" s="257"/>
      <c r="O340" s="186">
        <f t="shared" si="103"/>
        <v>500</v>
      </c>
      <c r="P340" s="239"/>
      <c r="Q340" s="256">
        <f t="shared" si="104"/>
        <v>500</v>
      </c>
    </row>
    <row r="341" spans="1:17" ht="12.75">
      <c r="A341" s="17" t="s">
        <v>236</v>
      </c>
      <c r="B341" s="60"/>
      <c r="C341" s="100"/>
      <c r="D341" s="81"/>
      <c r="E341" s="81"/>
      <c r="F341" s="144"/>
      <c r="G341" s="146"/>
      <c r="H341" s="173"/>
      <c r="I341" s="186"/>
      <c r="J341" s="229">
        <v>14.8</v>
      </c>
      <c r="K341" s="257"/>
      <c r="L341" s="186">
        <f t="shared" si="102"/>
        <v>14.8</v>
      </c>
      <c r="M341" s="264"/>
      <c r="N341" s="257"/>
      <c r="O341" s="186">
        <f t="shared" si="103"/>
        <v>14.8</v>
      </c>
      <c r="P341" s="239"/>
      <c r="Q341" s="256">
        <f t="shared" si="104"/>
        <v>14.8</v>
      </c>
    </row>
    <row r="342" spans="1:17" ht="12.75">
      <c r="A342" s="17" t="s">
        <v>273</v>
      </c>
      <c r="B342" s="108"/>
      <c r="C342" s="100"/>
      <c r="D342" s="81"/>
      <c r="E342" s="81"/>
      <c r="F342" s="144">
        <f t="shared" si="100"/>
        <v>0</v>
      </c>
      <c r="G342" s="146">
        <f>5</f>
        <v>5</v>
      </c>
      <c r="H342" s="173"/>
      <c r="I342" s="186">
        <f t="shared" si="101"/>
        <v>5</v>
      </c>
      <c r="J342" s="229"/>
      <c r="K342" s="257"/>
      <c r="L342" s="186">
        <f t="shared" si="102"/>
        <v>5</v>
      </c>
      <c r="M342" s="264"/>
      <c r="N342" s="257"/>
      <c r="O342" s="186">
        <f t="shared" si="103"/>
        <v>5</v>
      </c>
      <c r="P342" s="239"/>
      <c r="Q342" s="256">
        <f t="shared" si="104"/>
        <v>5</v>
      </c>
    </row>
    <row r="343" spans="1:17" ht="12.75">
      <c r="A343" s="17" t="s">
        <v>177</v>
      </c>
      <c r="B343" s="108">
        <v>212162</v>
      </c>
      <c r="C343" s="100"/>
      <c r="D343" s="81">
        <f>658.97</f>
        <v>658.97</v>
      </c>
      <c r="E343" s="81"/>
      <c r="F343" s="144">
        <f t="shared" si="100"/>
        <v>658.97</v>
      </c>
      <c r="G343" s="146"/>
      <c r="H343" s="173"/>
      <c r="I343" s="186">
        <f t="shared" si="101"/>
        <v>658.97</v>
      </c>
      <c r="J343" s="229"/>
      <c r="K343" s="257"/>
      <c r="L343" s="186">
        <f t="shared" si="102"/>
        <v>658.97</v>
      </c>
      <c r="M343" s="264"/>
      <c r="N343" s="257"/>
      <c r="O343" s="186">
        <f t="shared" si="103"/>
        <v>658.97</v>
      </c>
      <c r="P343" s="239"/>
      <c r="Q343" s="256">
        <f t="shared" si="104"/>
        <v>658.97</v>
      </c>
    </row>
    <row r="344" spans="1:17" ht="12.75">
      <c r="A344" s="17" t="s">
        <v>387</v>
      </c>
      <c r="B344" s="108"/>
      <c r="C344" s="100"/>
      <c r="D344" s="81"/>
      <c r="E344" s="81"/>
      <c r="F344" s="144"/>
      <c r="G344" s="146"/>
      <c r="H344" s="173"/>
      <c r="I344" s="186"/>
      <c r="J344" s="229"/>
      <c r="K344" s="257"/>
      <c r="L344" s="186">
        <f t="shared" si="102"/>
        <v>0</v>
      </c>
      <c r="M344" s="264">
        <f>305.27</f>
        <v>305.27</v>
      </c>
      <c r="N344" s="257"/>
      <c r="O344" s="186">
        <f t="shared" si="103"/>
        <v>305.27</v>
      </c>
      <c r="P344" s="239"/>
      <c r="Q344" s="256"/>
    </row>
    <row r="345" spans="1:17" ht="12.75">
      <c r="A345" s="17" t="s">
        <v>364</v>
      </c>
      <c r="B345" s="108"/>
      <c r="C345" s="100"/>
      <c r="D345" s="81"/>
      <c r="E345" s="81"/>
      <c r="F345" s="144">
        <f t="shared" si="100"/>
        <v>0</v>
      </c>
      <c r="G345" s="146">
        <f>92.45</f>
        <v>92.45</v>
      </c>
      <c r="H345" s="173"/>
      <c r="I345" s="186">
        <f t="shared" si="101"/>
        <v>92.45</v>
      </c>
      <c r="J345" s="229"/>
      <c r="K345" s="257"/>
      <c r="L345" s="186">
        <f t="shared" si="102"/>
        <v>92.45</v>
      </c>
      <c r="M345" s="264"/>
      <c r="N345" s="257"/>
      <c r="O345" s="186">
        <f t="shared" si="103"/>
        <v>92.45</v>
      </c>
      <c r="P345" s="239"/>
      <c r="Q345" s="256">
        <f t="shared" si="104"/>
        <v>92.45</v>
      </c>
    </row>
    <row r="346" spans="1:17" ht="12.75">
      <c r="A346" s="13" t="s">
        <v>87</v>
      </c>
      <c r="B346" s="60"/>
      <c r="C346" s="101">
        <f>SUM(C347:C357)</f>
        <v>40825</v>
      </c>
      <c r="D346" s="81">
        <f aca="true" t="shared" si="105" ref="D346:Q346">SUM(D347:D357)</f>
        <v>33781.079999999994</v>
      </c>
      <c r="E346" s="81">
        <f t="shared" si="105"/>
        <v>0</v>
      </c>
      <c r="F346" s="208">
        <f t="shared" si="105"/>
        <v>74606.08</v>
      </c>
      <c r="G346" s="154">
        <f t="shared" si="105"/>
        <v>1805.1599999999999</v>
      </c>
      <c r="H346" s="180">
        <f t="shared" si="105"/>
        <v>0</v>
      </c>
      <c r="I346" s="193">
        <f t="shared" si="105"/>
        <v>76411.24</v>
      </c>
      <c r="J346" s="241">
        <f t="shared" si="105"/>
        <v>-8027.929999999999</v>
      </c>
      <c r="K346" s="282">
        <f t="shared" si="105"/>
        <v>0</v>
      </c>
      <c r="L346" s="193">
        <f t="shared" si="105"/>
        <v>68383.31</v>
      </c>
      <c r="M346" s="264">
        <f t="shared" si="105"/>
        <v>-1470.4399999999998</v>
      </c>
      <c r="N346" s="282">
        <f t="shared" si="105"/>
        <v>348.52</v>
      </c>
      <c r="O346" s="193">
        <f t="shared" si="105"/>
        <v>67261.39</v>
      </c>
      <c r="P346" s="241">
        <f t="shared" si="105"/>
        <v>0</v>
      </c>
      <c r="Q346" s="226">
        <f t="shared" si="105"/>
        <v>67261.39</v>
      </c>
    </row>
    <row r="347" spans="1:17" ht="12.75">
      <c r="A347" s="13" t="s">
        <v>238</v>
      </c>
      <c r="B347" s="60"/>
      <c r="C347" s="101">
        <v>14000</v>
      </c>
      <c r="D347" s="81"/>
      <c r="E347" s="75"/>
      <c r="F347" s="144">
        <f t="shared" si="100"/>
        <v>14000</v>
      </c>
      <c r="G347" s="146"/>
      <c r="H347" s="173"/>
      <c r="I347" s="186">
        <f t="shared" si="101"/>
        <v>14000</v>
      </c>
      <c r="J347" s="229"/>
      <c r="K347" s="257"/>
      <c r="L347" s="186">
        <f t="shared" si="102"/>
        <v>14000</v>
      </c>
      <c r="M347" s="264"/>
      <c r="N347" s="257"/>
      <c r="O347" s="186">
        <f t="shared" si="103"/>
        <v>14000</v>
      </c>
      <c r="P347" s="239"/>
      <c r="Q347" s="256">
        <f t="shared" si="104"/>
        <v>14000</v>
      </c>
    </row>
    <row r="348" spans="1:17" ht="12.75">
      <c r="A348" s="16" t="s">
        <v>191</v>
      </c>
      <c r="B348" s="63"/>
      <c r="C348" s="121"/>
      <c r="D348" s="307">
        <f>146.37+25302.67</f>
        <v>25449.039999999997</v>
      </c>
      <c r="E348" s="79"/>
      <c r="F348" s="97">
        <f t="shared" si="100"/>
        <v>25449.039999999997</v>
      </c>
      <c r="G348" s="152">
        <f>6.18+105.08+9.1+240+154.69</f>
        <v>515.05</v>
      </c>
      <c r="H348" s="178"/>
      <c r="I348" s="191">
        <f t="shared" si="101"/>
        <v>25964.089999999997</v>
      </c>
      <c r="J348" s="245">
        <f>-600-2380</f>
        <v>-2980</v>
      </c>
      <c r="K348" s="261"/>
      <c r="L348" s="191">
        <f t="shared" si="102"/>
        <v>22984.089999999997</v>
      </c>
      <c r="M348" s="213">
        <f>9.29+157.92+600-7.32</f>
        <v>759.89</v>
      </c>
      <c r="N348" s="261"/>
      <c r="O348" s="191">
        <f t="shared" si="103"/>
        <v>23743.979999999996</v>
      </c>
      <c r="P348" s="262"/>
      <c r="Q348" s="263">
        <f t="shared" si="104"/>
        <v>23743.979999999996</v>
      </c>
    </row>
    <row r="349" spans="1:17" ht="12.75">
      <c r="A349" s="13" t="s">
        <v>306</v>
      </c>
      <c r="B349" s="60"/>
      <c r="C349" s="101">
        <v>475</v>
      </c>
      <c r="D349" s="95">
        <f>-475</f>
        <v>-475</v>
      </c>
      <c r="E349" s="75"/>
      <c r="F349" s="144">
        <f t="shared" si="100"/>
        <v>0</v>
      </c>
      <c r="G349" s="146"/>
      <c r="H349" s="173"/>
      <c r="I349" s="186">
        <f t="shared" si="101"/>
        <v>0</v>
      </c>
      <c r="J349" s="229"/>
      <c r="K349" s="257"/>
      <c r="L349" s="186">
        <f t="shared" si="102"/>
        <v>0</v>
      </c>
      <c r="M349" s="264"/>
      <c r="N349" s="257"/>
      <c r="O349" s="186">
        <f t="shared" si="103"/>
        <v>0</v>
      </c>
      <c r="P349" s="239"/>
      <c r="Q349" s="256">
        <f t="shared" si="104"/>
        <v>0</v>
      </c>
    </row>
    <row r="350" spans="1:17" ht="12.75" hidden="1">
      <c r="A350" s="13" t="s">
        <v>224</v>
      </c>
      <c r="B350" s="60"/>
      <c r="C350" s="101"/>
      <c r="D350" s="81"/>
      <c r="E350" s="75"/>
      <c r="F350" s="144">
        <f t="shared" si="100"/>
        <v>0</v>
      </c>
      <c r="G350" s="146"/>
      <c r="H350" s="173"/>
      <c r="I350" s="186">
        <f t="shared" si="101"/>
        <v>0</v>
      </c>
      <c r="J350" s="229"/>
      <c r="K350" s="257"/>
      <c r="L350" s="186">
        <f t="shared" si="102"/>
        <v>0</v>
      </c>
      <c r="M350" s="264"/>
      <c r="N350" s="257"/>
      <c r="O350" s="186">
        <f t="shared" si="103"/>
        <v>0</v>
      </c>
      <c r="P350" s="239"/>
      <c r="Q350" s="256">
        <f t="shared" si="104"/>
        <v>0</v>
      </c>
    </row>
    <row r="351" spans="1:17" ht="12.75">
      <c r="A351" s="13" t="s">
        <v>251</v>
      </c>
      <c r="B351" s="60"/>
      <c r="C351" s="101"/>
      <c r="D351" s="81">
        <f>12500+439.55</f>
        <v>12939.55</v>
      </c>
      <c r="E351" s="75"/>
      <c r="F351" s="144">
        <f t="shared" si="100"/>
        <v>12939.55</v>
      </c>
      <c r="G351" s="146"/>
      <c r="H351" s="173"/>
      <c r="I351" s="186">
        <f t="shared" si="101"/>
        <v>12939.55</v>
      </c>
      <c r="J351" s="229"/>
      <c r="K351" s="257"/>
      <c r="L351" s="186">
        <f t="shared" si="102"/>
        <v>12939.55</v>
      </c>
      <c r="M351" s="264"/>
      <c r="N351" s="257"/>
      <c r="O351" s="186">
        <f t="shared" si="103"/>
        <v>12939.55</v>
      </c>
      <c r="P351" s="239"/>
      <c r="Q351" s="256">
        <f t="shared" si="104"/>
        <v>12939.55</v>
      </c>
    </row>
    <row r="352" spans="1:17" ht="12.75">
      <c r="A352" s="13" t="s">
        <v>190</v>
      </c>
      <c r="B352" s="60"/>
      <c r="C352" s="101"/>
      <c r="D352" s="81">
        <f>146.2+494.22+1.89+731.81+66.43+30.89+557.68+130.68+290.4+1173.45+24.2+13.17+20.57+20.57</f>
        <v>3702.16</v>
      </c>
      <c r="E352" s="75"/>
      <c r="F352" s="144">
        <f t="shared" si="100"/>
        <v>3702.16</v>
      </c>
      <c r="G352" s="146">
        <f>94.02+362.53+66.3+415.52+96.8+153.37</f>
        <v>1188.54</v>
      </c>
      <c r="H352" s="173"/>
      <c r="I352" s="186">
        <f t="shared" si="101"/>
        <v>4890.7</v>
      </c>
      <c r="J352" s="229">
        <f>154.46+15.73+15.73+1348.71+48.4+225.11+696.06-36.3+3+26.96</f>
        <v>2497.86</v>
      </c>
      <c r="K352" s="257"/>
      <c r="L352" s="186">
        <f t="shared" si="102"/>
        <v>7388.5599999999995</v>
      </c>
      <c r="M352" s="264">
        <f>222.65+24.2+571.25+38.22+48.4</f>
        <v>904.72</v>
      </c>
      <c r="N352" s="257">
        <v>275.92</v>
      </c>
      <c r="O352" s="186">
        <f t="shared" si="103"/>
        <v>8569.199999999999</v>
      </c>
      <c r="P352" s="239"/>
      <c r="Q352" s="256">
        <f t="shared" si="104"/>
        <v>8569.199999999999</v>
      </c>
    </row>
    <row r="353" spans="1:17" ht="12.75">
      <c r="A353" s="13" t="s">
        <v>193</v>
      </c>
      <c r="B353" s="60"/>
      <c r="C353" s="101"/>
      <c r="D353" s="81">
        <f>2617.13</f>
        <v>2617.13</v>
      </c>
      <c r="E353" s="75"/>
      <c r="F353" s="144">
        <f t="shared" si="100"/>
        <v>2617.13</v>
      </c>
      <c r="G353" s="146"/>
      <c r="H353" s="173"/>
      <c r="I353" s="186">
        <f t="shared" si="101"/>
        <v>2617.13</v>
      </c>
      <c r="J353" s="229"/>
      <c r="K353" s="257"/>
      <c r="L353" s="186">
        <f t="shared" si="102"/>
        <v>2617.13</v>
      </c>
      <c r="M353" s="264">
        <f>350</f>
        <v>350</v>
      </c>
      <c r="N353" s="257"/>
      <c r="O353" s="186">
        <f t="shared" si="103"/>
        <v>2967.13</v>
      </c>
      <c r="P353" s="239"/>
      <c r="Q353" s="256">
        <f t="shared" si="104"/>
        <v>2967.13</v>
      </c>
    </row>
    <row r="354" spans="1:17" ht="12.75">
      <c r="A354" s="13" t="s">
        <v>199</v>
      </c>
      <c r="B354" s="60"/>
      <c r="C354" s="101">
        <v>8463</v>
      </c>
      <c r="D354" s="81">
        <f>-951+41.35</f>
        <v>-909.65</v>
      </c>
      <c r="E354" s="75"/>
      <c r="F354" s="144">
        <f t="shared" si="100"/>
        <v>7553.35</v>
      </c>
      <c r="G354" s="146">
        <f>174.49</f>
        <v>174.49</v>
      </c>
      <c r="H354" s="173"/>
      <c r="I354" s="186">
        <f t="shared" si="101"/>
        <v>7727.84</v>
      </c>
      <c r="J354" s="229">
        <f>-7500</f>
        <v>-7500</v>
      </c>
      <c r="K354" s="257"/>
      <c r="L354" s="186">
        <f t="shared" si="102"/>
        <v>227.84000000000015</v>
      </c>
      <c r="M354" s="264">
        <v>160.23</v>
      </c>
      <c r="N354" s="257">
        <v>72.6</v>
      </c>
      <c r="O354" s="186">
        <f t="shared" si="103"/>
        <v>460.6700000000002</v>
      </c>
      <c r="P354" s="239"/>
      <c r="Q354" s="256">
        <f t="shared" si="104"/>
        <v>460.6700000000002</v>
      </c>
    </row>
    <row r="355" spans="1:17" ht="12.75">
      <c r="A355" s="13" t="s">
        <v>197</v>
      </c>
      <c r="B355" s="60"/>
      <c r="C355" s="101">
        <v>16691</v>
      </c>
      <c r="D355" s="81">
        <f>-12690.05+2000</f>
        <v>-10690.05</v>
      </c>
      <c r="E355" s="75"/>
      <c r="F355" s="144">
        <f t="shared" si="100"/>
        <v>6000.950000000001</v>
      </c>
      <c r="G355" s="146"/>
      <c r="H355" s="173"/>
      <c r="I355" s="186">
        <f t="shared" si="101"/>
        <v>6000.950000000001</v>
      </c>
      <c r="J355" s="229"/>
      <c r="K355" s="257"/>
      <c r="L355" s="186">
        <f t="shared" si="102"/>
        <v>6000.950000000001</v>
      </c>
      <c r="M355" s="264">
        <f>500-4000</f>
        <v>-3500</v>
      </c>
      <c r="N355" s="257"/>
      <c r="O355" s="186">
        <f t="shared" si="103"/>
        <v>2500.9500000000007</v>
      </c>
      <c r="P355" s="239"/>
      <c r="Q355" s="256">
        <f t="shared" si="104"/>
        <v>2500.9500000000007</v>
      </c>
    </row>
    <row r="356" spans="1:17" ht="12.75">
      <c r="A356" s="13" t="s">
        <v>228</v>
      </c>
      <c r="B356" s="60"/>
      <c r="C356" s="101">
        <v>1196</v>
      </c>
      <c r="D356" s="81">
        <f>-140.48-105+671</f>
        <v>425.52</v>
      </c>
      <c r="E356" s="75"/>
      <c r="F356" s="144">
        <f t="shared" si="100"/>
        <v>1621.52</v>
      </c>
      <c r="G356" s="146"/>
      <c r="H356" s="173"/>
      <c r="I356" s="186">
        <f t="shared" si="101"/>
        <v>1621.52</v>
      </c>
      <c r="J356" s="229"/>
      <c r="K356" s="257"/>
      <c r="L356" s="186">
        <f t="shared" si="102"/>
        <v>1621.52</v>
      </c>
      <c r="M356" s="264"/>
      <c r="N356" s="257"/>
      <c r="O356" s="186">
        <f t="shared" si="103"/>
        <v>1621.52</v>
      </c>
      <c r="P356" s="239"/>
      <c r="Q356" s="256">
        <f t="shared" si="104"/>
        <v>1621.52</v>
      </c>
    </row>
    <row r="357" spans="1:17" ht="12.75">
      <c r="A357" s="13" t="s">
        <v>264</v>
      </c>
      <c r="B357" s="60"/>
      <c r="C357" s="101"/>
      <c r="D357" s="95">
        <f>767.53-6.64-3.09-33-2.42</f>
        <v>722.38</v>
      </c>
      <c r="E357" s="75"/>
      <c r="F357" s="144">
        <f t="shared" si="100"/>
        <v>722.38</v>
      </c>
      <c r="G357" s="146">
        <f>-9.4-6.63-41.55-15.34</f>
        <v>-72.92</v>
      </c>
      <c r="H357" s="173"/>
      <c r="I357" s="186">
        <f t="shared" si="101"/>
        <v>649.46</v>
      </c>
      <c r="J357" s="229">
        <f>-15.44-4.84-22.51-3</f>
        <v>-45.790000000000006</v>
      </c>
      <c r="K357" s="257"/>
      <c r="L357" s="186">
        <f t="shared" si="102"/>
        <v>603.6700000000001</v>
      </c>
      <c r="M357" s="264">
        <f>-22.26-2.42-77.54-38.22-4.84</f>
        <v>-145.28</v>
      </c>
      <c r="N357" s="257"/>
      <c r="O357" s="186">
        <f t="shared" si="103"/>
        <v>458.3900000000001</v>
      </c>
      <c r="P357" s="239"/>
      <c r="Q357" s="256">
        <f t="shared" si="104"/>
        <v>458.3900000000001</v>
      </c>
    </row>
    <row r="358" spans="1:17" ht="12.75">
      <c r="A358" s="19" t="s">
        <v>60</v>
      </c>
      <c r="B358" s="64"/>
      <c r="C358" s="117">
        <f aca="true" t="shared" si="106" ref="C358:Q358">SUM(C360:C374)</f>
        <v>775236</v>
      </c>
      <c r="D358" s="78">
        <f t="shared" si="106"/>
        <v>1473295.43</v>
      </c>
      <c r="E358" s="78">
        <f t="shared" si="106"/>
        <v>-392.57</v>
      </c>
      <c r="F358" s="206">
        <f t="shared" si="106"/>
        <v>2248138.8600000003</v>
      </c>
      <c r="G358" s="150">
        <f t="shared" si="106"/>
        <v>445498.89</v>
      </c>
      <c r="H358" s="176">
        <f t="shared" si="106"/>
        <v>0</v>
      </c>
      <c r="I358" s="189">
        <f t="shared" si="106"/>
        <v>2693637.75</v>
      </c>
      <c r="J358" s="243">
        <f t="shared" si="106"/>
        <v>472850.92000000004</v>
      </c>
      <c r="K358" s="280">
        <f t="shared" si="106"/>
        <v>0</v>
      </c>
      <c r="L358" s="189">
        <f t="shared" si="106"/>
        <v>3166488.67</v>
      </c>
      <c r="M358" s="298">
        <f t="shared" si="106"/>
        <v>350098.24999999994</v>
      </c>
      <c r="N358" s="280">
        <f t="shared" si="106"/>
        <v>-348.52000000000044</v>
      </c>
      <c r="O358" s="189">
        <f t="shared" si="106"/>
        <v>3516238.4000000004</v>
      </c>
      <c r="P358" s="243">
        <f t="shared" si="106"/>
        <v>0</v>
      </c>
      <c r="Q358" s="224">
        <f t="shared" si="106"/>
        <v>3514608.0300000003</v>
      </c>
    </row>
    <row r="359" spans="1:17" ht="12.75">
      <c r="A359" s="17" t="s">
        <v>27</v>
      </c>
      <c r="B359" s="60"/>
      <c r="C359" s="100"/>
      <c r="D359" s="75"/>
      <c r="E359" s="75"/>
      <c r="F359" s="144"/>
      <c r="G359" s="146"/>
      <c r="H359" s="173"/>
      <c r="I359" s="186"/>
      <c r="J359" s="229"/>
      <c r="K359" s="257"/>
      <c r="L359" s="186"/>
      <c r="M359" s="264"/>
      <c r="N359" s="257"/>
      <c r="O359" s="186"/>
      <c r="P359" s="239"/>
      <c r="Q359" s="256"/>
    </row>
    <row r="360" spans="1:17" ht="12.75" hidden="1">
      <c r="A360" s="17" t="s">
        <v>186</v>
      </c>
      <c r="B360" s="60"/>
      <c r="C360" s="100"/>
      <c r="D360" s="75"/>
      <c r="E360" s="75"/>
      <c r="F360" s="144">
        <f aca="true" t="shared" si="107" ref="F360:F386">C360+D360+E360</f>
        <v>0</v>
      </c>
      <c r="G360" s="146"/>
      <c r="H360" s="173"/>
      <c r="I360" s="186"/>
      <c r="J360" s="229"/>
      <c r="K360" s="257"/>
      <c r="L360" s="186"/>
      <c r="M360" s="264"/>
      <c r="N360" s="257"/>
      <c r="O360" s="186"/>
      <c r="P360" s="239"/>
      <c r="Q360" s="256"/>
    </row>
    <row r="361" spans="1:17" ht="12.75">
      <c r="A361" s="17" t="s">
        <v>185</v>
      </c>
      <c r="B361" s="138">
        <v>1081.1202</v>
      </c>
      <c r="C361" s="100">
        <v>5725</v>
      </c>
      <c r="D361" s="75">
        <f>792.52</f>
        <v>792.52</v>
      </c>
      <c r="E361" s="75"/>
      <c r="F361" s="144">
        <f t="shared" si="107"/>
        <v>6517.52</v>
      </c>
      <c r="G361" s="146"/>
      <c r="H361" s="173"/>
      <c r="I361" s="186">
        <f aca="true" t="shared" si="108" ref="I361:I386">F361+G361+H361</f>
        <v>6517.52</v>
      </c>
      <c r="J361" s="229"/>
      <c r="K361" s="257"/>
      <c r="L361" s="186">
        <f aca="true" t="shared" si="109" ref="L361:L386">I361+J361+K361</f>
        <v>6517.52</v>
      </c>
      <c r="M361" s="264"/>
      <c r="N361" s="257"/>
      <c r="O361" s="186">
        <f aca="true" t="shared" si="110" ref="O361:O385">L361+M361+N361</f>
        <v>6517.52</v>
      </c>
      <c r="P361" s="239"/>
      <c r="Q361" s="256">
        <f aca="true" t="shared" si="111" ref="Q361:Q386">O361+P361</f>
        <v>6517.52</v>
      </c>
    </row>
    <row r="362" spans="1:17" ht="12.75">
      <c r="A362" s="17" t="s">
        <v>176</v>
      </c>
      <c r="B362" s="60"/>
      <c r="C362" s="100">
        <v>33853</v>
      </c>
      <c r="D362" s="75">
        <f>4022.06</f>
        <v>4022.06</v>
      </c>
      <c r="E362" s="75"/>
      <c r="F362" s="144">
        <f t="shared" si="107"/>
        <v>37875.06</v>
      </c>
      <c r="G362" s="146">
        <f>8000</f>
        <v>8000</v>
      </c>
      <c r="H362" s="173"/>
      <c r="I362" s="186">
        <f t="shared" si="108"/>
        <v>45875.06</v>
      </c>
      <c r="J362" s="229"/>
      <c r="K362" s="257"/>
      <c r="L362" s="186">
        <f t="shared" si="109"/>
        <v>45875.06</v>
      </c>
      <c r="M362" s="264">
        <v>-700</v>
      </c>
      <c r="N362" s="257"/>
      <c r="O362" s="186">
        <f t="shared" si="110"/>
        <v>45175.06</v>
      </c>
      <c r="P362" s="239"/>
      <c r="Q362" s="256">
        <f t="shared" si="111"/>
        <v>45175.06</v>
      </c>
    </row>
    <row r="363" spans="1:17" ht="12.75">
      <c r="A363" s="17" t="s">
        <v>236</v>
      </c>
      <c r="B363" s="60"/>
      <c r="C363" s="100"/>
      <c r="D363" s="81">
        <f>802.9</f>
        <v>802.9</v>
      </c>
      <c r="E363" s="81"/>
      <c r="F363" s="144">
        <f t="shared" si="107"/>
        <v>802.9</v>
      </c>
      <c r="G363" s="146"/>
      <c r="H363" s="173"/>
      <c r="I363" s="186">
        <f t="shared" si="108"/>
        <v>802.9</v>
      </c>
      <c r="J363" s="229">
        <v>-14.8</v>
      </c>
      <c r="K363" s="257"/>
      <c r="L363" s="186">
        <f t="shared" si="109"/>
        <v>788.1</v>
      </c>
      <c r="M363" s="264"/>
      <c r="N363" s="257"/>
      <c r="O363" s="186">
        <f t="shared" si="110"/>
        <v>788.1</v>
      </c>
      <c r="P363" s="239"/>
      <c r="Q363" s="256">
        <f t="shared" si="111"/>
        <v>788.1</v>
      </c>
    </row>
    <row r="364" spans="1:17" ht="12.75">
      <c r="A364" s="106" t="s">
        <v>252</v>
      </c>
      <c r="B364" s="60"/>
      <c r="C364" s="100">
        <v>420000</v>
      </c>
      <c r="D364" s="95">
        <f>180000+100000+25+25+8134.79</f>
        <v>288184.79</v>
      </c>
      <c r="E364" s="95"/>
      <c r="F364" s="144">
        <f t="shared" si="107"/>
        <v>708184.79</v>
      </c>
      <c r="G364" s="146">
        <f>25+65000+115000</f>
        <v>180025</v>
      </c>
      <c r="H364" s="173"/>
      <c r="I364" s="186">
        <f t="shared" si="108"/>
        <v>888209.79</v>
      </c>
      <c r="J364" s="229">
        <f>1375+125000</f>
        <v>126375</v>
      </c>
      <c r="K364" s="257"/>
      <c r="L364" s="186">
        <f t="shared" si="109"/>
        <v>1014584.79</v>
      </c>
      <c r="M364" s="264">
        <v>150000</v>
      </c>
      <c r="N364" s="257"/>
      <c r="O364" s="186">
        <f t="shared" si="110"/>
        <v>1164584.79</v>
      </c>
      <c r="P364" s="239"/>
      <c r="Q364" s="256">
        <f t="shared" si="111"/>
        <v>1164584.79</v>
      </c>
    </row>
    <row r="365" spans="1:17" ht="12.75">
      <c r="A365" s="17" t="s">
        <v>273</v>
      </c>
      <c r="B365" s="108">
        <v>212161</v>
      </c>
      <c r="C365" s="100">
        <v>81932</v>
      </c>
      <c r="D365" s="81">
        <f>20000+35000+3955.95</f>
        <v>58955.95</v>
      </c>
      <c r="E365" s="81"/>
      <c r="F365" s="144">
        <f t="shared" si="107"/>
        <v>140887.95</v>
      </c>
      <c r="G365" s="146">
        <f>-5</f>
        <v>-5</v>
      </c>
      <c r="H365" s="173"/>
      <c r="I365" s="186">
        <f t="shared" si="108"/>
        <v>140882.95</v>
      </c>
      <c r="J365" s="229"/>
      <c r="K365" s="257"/>
      <c r="L365" s="186">
        <f t="shared" si="109"/>
        <v>140882.95</v>
      </c>
      <c r="M365" s="264"/>
      <c r="N365" s="257"/>
      <c r="O365" s="186">
        <f t="shared" si="110"/>
        <v>140882.95</v>
      </c>
      <c r="P365" s="239"/>
      <c r="Q365" s="256">
        <f t="shared" si="111"/>
        <v>140882.95</v>
      </c>
    </row>
    <row r="366" spans="1:17" ht="12.75">
      <c r="A366" s="17" t="s">
        <v>260</v>
      </c>
      <c r="B366" s="108">
        <v>22777</v>
      </c>
      <c r="C366" s="100"/>
      <c r="D366" s="81"/>
      <c r="E366" s="81"/>
      <c r="F366" s="144">
        <f t="shared" si="107"/>
        <v>0</v>
      </c>
      <c r="G366" s="146"/>
      <c r="H366" s="173"/>
      <c r="I366" s="186">
        <f t="shared" si="108"/>
        <v>0</v>
      </c>
      <c r="J366" s="229">
        <f>88697.25</f>
        <v>88697.25</v>
      </c>
      <c r="K366" s="257"/>
      <c r="L366" s="186">
        <f t="shared" si="109"/>
        <v>88697.25</v>
      </c>
      <c r="M366" s="264"/>
      <c r="N366" s="257"/>
      <c r="O366" s="186">
        <f t="shared" si="110"/>
        <v>88697.25</v>
      </c>
      <c r="P366" s="239"/>
      <c r="Q366" s="256">
        <f t="shared" si="111"/>
        <v>88697.25</v>
      </c>
    </row>
    <row r="367" spans="1:17" ht="12.75">
      <c r="A367" s="17" t="s">
        <v>312</v>
      </c>
      <c r="B367" s="108">
        <v>98858</v>
      </c>
      <c r="C367" s="100"/>
      <c r="D367" s="81">
        <f>33000</f>
        <v>33000</v>
      </c>
      <c r="E367" s="81"/>
      <c r="F367" s="144">
        <f t="shared" si="107"/>
        <v>33000</v>
      </c>
      <c r="G367" s="146"/>
      <c r="H367" s="173"/>
      <c r="I367" s="186">
        <f t="shared" si="108"/>
        <v>33000</v>
      </c>
      <c r="J367" s="229"/>
      <c r="K367" s="257"/>
      <c r="L367" s="186">
        <f t="shared" si="109"/>
        <v>33000</v>
      </c>
      <c r="M367" s="264"/>
      <c r="N367" s="257"/>
      <c r="O367" s="186">
        <f t="shared" si="110"/>
        <v>33000</v>
      </c>
      <c r="P367" s="239"/>
      <c r="Q367" s="256">
        <f t="shared" si="111"/>
        <v>33000</v>
      </c>
    </row>
    <row r="368" spans="1:17" ht="12.75">
      <c r="A368" s="17" t="s">
        <v>353</v>
      </c>
      <c r="B368" s="108" t="s">
        <v>326</v>
      </c>
      <c r="C368" s="100"/>
      <c r="D368" s="81"/>
      <c r="E368" s="81"/>
      <c r="F368" s="144">
        <f t="shared" si="107"/>
        <v>0</v>
      </c>
      <c r="G368" s="146">
        <f>24659.78</f>
        <v>24659.78</v>
      </c>
      <c r="H368" s="173"/>
      <c r="I368" s="186">
        <f t="shared" si="108"/>
        <v>24659.78</v>
      </c>
      <c r="J368" s="229"/>
      <c r="K368" s="257"/>
      <c r="L368" s="186">
        <f t="shared" si="109"/>
        <v>24659.78</v>
      </c>
      <c r="M368" s="264"/>
      <c r="N368" s="257"/>
      <c r="O368" s="186">
        <f t="shared" si="110"/>
        <v>24659.78</v>
      </c>
      <c r="P368" s="239"/>
      <c r="Q368" s="256">
        <f t="shared" si="111"/>
        <v>24659.78</v>
      </c>
    </row>
    <row r="369" spans="1:17" ht="12.75">
      <c r="A369" s="17" t="s">
        <v>177</v>
      </c>
      <c r="B369" s="108">
        <v>212162</v>
      </c>
      <c r="C369" s="100"/>
      <c r="D369" s="81">
        <f>45097.04</f>
        <v>45097.04</v>
      </c>
      <c r="E369" s="81"/>
      <c r="F369" s="144">
        <f t="shared" si="107"/>
        <v>45097.04</v>
      </c>
      <c r="G369" s="146"/>
      <c r="H369" s="173"/>
      <c r="I369" s="186">
        <f t="shared" si="108"/>
        <v>45097.04</v>
      </c>
      <c r="J369" s="229"/>
      <c r="K369" s="257"/>
      <c r="L369" s="186">
        <f t="shared" si="109"/>
        <v>45097.04</v>
      </c>
      <c r="M369" s="264"/>
      <c r="N369" s="257"/>
      <c r="O369" s="186">
        <f t="shared" si="110"/>
        <v>45097.04</v>
      </c>
      <c r="P369" s="239"/>
      <c r="Q369" s="256">
        <f t="shared" si="111"/>
        <v>45097.04</v>
      </c>
    </row>
    <row r="370" spans="1:17" ht="12.75">
      <c r="A370" s="17" t="s">
        <v>387</v>
      </c>
      <c r="B370" s="108"/>
      <c r="C370" s="100"/>
      <c r="D370" s="81"/>
      <c r="E370" s="81"/>
      <c r="F370" s="144"/>
      <c r="G370" s="146"/>
      <c r="H370" s="173"/>
      <c r="I370" s="186"/>
      <c r="J370" s="229"/>
      <c r="K370" s="257"/>
      <c r="L370" s="186">
        <f t="shared" si="109"/>
        <v>0</v>
      </c>
      <c r="M370" s="264">
        <f>1630.37</f>
        <v>1630.37</v>
      </c>
      <c r="N370" s="257"/>
      <c r="O370" s="186">
        <f t="shared" si="110"/>
        <v>1630.37</v>
      </c>
      <c r="P370" s="239"/>
      <c r="Q370" s="256"/>
    </row>
    <row r="371" spans="1:17" ht="12.75">
      <c r="A371" s="17" t="s">
        <v>364</v>
      </c>
      <c r="B371" s="108"/>
      <c r="C371" s="100"/>
      <c r="D371" s="81"/>
      <c r="E371" s="81"/>
      <c r="F371" s="144">
        <f t="shared" si="107"/>
        <v>0</v>
      </c>
      <c r="G371" s="146">
        <f>8151.44</f>
        <v>8151.44</v>
      </c>
      <c r="H371" s="173"/>
      <c r="I371" s="186">
        <f t="shared" si="108"/>
        <v>8151.44</v>
      </c>
      <c r="J371" s="229"/>
      <c r="K371" s="257"/>
      <c r="L371" s="186">
        <f t="shared" si="109"/>
        <v>8151.44</v>
      </c>
      <c r="M371" s="264"/>
      <c r="N371" s="257"/>
      <c r="O371" s="186">
        <f t="shared" si="110"/>
        <v>8151.44</v>
      </c>
      <c r="P371" s="239"/>
      <c r="Q371" s="256">
        <f t="shared" si="111"/>
        <v>8151.44</v>
      </c>
    </row>
    <row r="372" spans="1:17" ht="12.75">
      <c r="A372" s="17" t="s">
        <v>85</v>
      </c>
      <c r="B372" s="108">
        <v>91628</v>
      </c>
      <c r="C372" s="100"/>
      <c r="D372" s="81">
        <f>153987</f>
        <v>153987</v>
      </c>
      <c r="E372" s="81"/>
      <c r="F372" s="144">
        <f t="shared" si="107"/>
        <v>153987</v>
      </c>
      <c r="G372" s="146">
        <f>114711</f>
        <v>114711</v>
      </c>
      <c r="H372" s="173"/>
      <c r="I372" s="186">
        <f t="shared" si="108"/>
        <v>268698</v>
      </c>
      <c r="J372" s="229"/>
      <c r="K372" s="257"/>
      <c r="L372" s="186">
        <f t="shared" si="109"/>
        <v>268698</v>
      </c>
      <c r="M372" s="264"/>
      <c r="N372" s="257"/>
      <c r="O372" s="186">
        <f t="shared" si="110"/>
        <v>268698</v>
      </c>
      <c r="P372" s="239"/>
      <c r="Q372" s="256">
        <f t="shared" si="111"/>
        <v>268698</v>
      </c>
    </row>
    <row r="373" spans="1:17" ht="12.75">
      <c r="A373" s="17" t="s">
        <v>219</v>
      </c>
      <c r="B373" s="60"/>
      <c r="C373" s="100"/>
      <c r="D373" s="81">
        <f>940.71+300</f>
        <v>1240.71</v>
      </c>
      <c r="E373" s="81"/>
      <c r="F373" s="144">
        <f t="shared" si="107"/>
        <v>1240.71</v>
      </c>
      <c r="G373" s="146"/>
      <c r="H373" s="173"/>
      <c r="I373" s="186">
        <f t="shared" si="108"/>
        <v>1240.71</v>
      </c>
      <c r="J373" s="229"/>
      <c r="K373" s="257"/>
      <c r="L373" s="186">
        <f t="shared" si="109"/>
        <v>1240.71</v>
      </c>
      <c r="M373" s="264"/>
      <c r="N373" s="257"/>
      <c r="O373" s="186">
        <f t="shared" si="110"/>
        <v>1240.71</v>
      </c>
      <c r="P373" s="239"/>
      <c r="Q373" s="256">
        <f t="shared" si="111"/>
        <v>1240.71</v>
      </c>
    </row>
    <row r="374" spans="1:17" ht="12.75">
      <c r="A374" s="17" t="s">
        <v>178</v>
      </c>
      <c r="B374" s="60"/>
      <c r="C374" s="100">
        <f>SUM(C375:C386)</f>
        <v>233726</v>
      </c>
      <c r="D374" s="75">
        <f aca="true" t="shared" si="112" ref="D374:Q374">SUM(D375:D386)</f>
        <v>887212.46</v>
      </c>
      <c r="E374" s="75">
        <f t="shared" si="112"/>
        <v>-392.57</v>
      </c>
      <c r="F374" s="144">
        <f t="shared" si="112"/>
        <v>1120545.8900000001</v>
      </c>
      <c r="G374" s="146">
        <f t="shared" si="112"/>
        <v>109956.67000000004</v>
      </c>
      <c r="H374" s="173">
        <f t="shared" si="112"/>
        <v>0</v>
      </c>
      <c r="I374" s="186">
        <f t="shared" si="112"/>
        <v>1230502.56</v>
      </c>
      <c r="J374" s="229">
        <f t="shared" si="112"/>
        <v>257793.47</v>
      </c>
      <c r="K374" s="257">
        <f t="shared" si="112"/>
        <v>0</v>
      </c>
      <c r="L374" s="186">
        <f t="shared" si="112"/>
        <v>1488296.03</v>
      </c>
      <c r="M374" s="156">
        <f t="shared" si="112"/>
        <v>199167.87999999995</v>
      </c>
      <c r="N374" s="257">
        <f t="shared" si="112"/>
        <v>-348.52000000000044</v>
      </c>
      <c r="O374" s="186">
        <f t="shared" si="112"/>
        <v>1687115.3900000001</v>
      </c>
      <c r="P374" s="229">
        <f t="shared" si="112"/>
        <v>0</v>
      </c>
      <c r="Q374" s="220">
        <f t="shared" si="112"/>
        <v>1687115.3900000001</v>
      </c>
    </row>
    <row r="375" spans="1:17" ht="12.75">
      <c r="A375" s="17" t="s">
        <v>179</v>
      </c>
      <c r="B375" s="60"/>
      <c r="C375" s="100">
        <v>7410</v>
      </c>
      <c r="D375" s="81">
        <f>20624.21+142104.89</f>
        <v>162729.1</v>
      </c>
      <c r="E375" s="75"/>
      <c r="F375" s="144">
        <f t="shared" si="107"/>
        <v>170139.1</v>
      </c>
      <c r="G375" s="146">
        <f>73.46+1248.75+2704.73+600-240+3321.15+2134.95-6500+16992.28</f>
        <v>20335.32</v>
      </c>
      <c r="H375" s="173"/>
      <c r="I375" s="186">
        <f t="shared" si="108"/>
        <v>190474.42</v>
      </c>
      <c r="J375" s="229">
        <f>10638.84+10510.17+16563.46+10044.26-450+1480.9</f>
        <v>48787.630000000005</v>
      </c>
      <c r="K375" s="257"/>
      <c r="L375" s="186">
        <f t="shared" si="109"/>
        <v>239262.05000000002</v>
      </c>
      <c r="M375" s="264">
        <f>508.94+2458.34+435.12-600+1000-500</f>
        <v>3302.4</v>
      </c>
      <c r="N375" s="257"/>
      <c r="O375" s="186">
        <f t="shared" si="110"/>
        <v>242564.45</v>
      </c>
      <c r="P375" s="239"/>
      <c r="Q375" s="256">
        <f t="shared" si="111"/>
        <v>242564.45</v>
      </c>
    </row>
    <row r="376" spans="1:17" ht="12.75" hidden="1">
      <c r="A376" s="17" t="s">
        <v>200</v>
      </c>
      <c r="B376" s="60"/>
      <c r="C376" s="100"/>
      <c r="D376" s="81"/>
      <c r="E376" s="75"/>
      <c r="F376" s="144">
        <f t="shared" si="107"/>
        <v>0</v>
      </c>
      <c r="G376" s="146"/>
      <c r="H376" s="173"/>
      <c r="I376" s="186">
        <f t="shared" si="108"/>
        <v>0</v>
      </c>
      <c r="J376" s="229"/>
      <c r="K376" s="257"/>
      <c r="L376" s="186">
        <f t="shared" si="109"/>
        <v>0</v>
      </c>
      <c r="M376" s="264"/>
      <c r="N376" s="257"/>
      <c r="O376" s="186">
        <f t="shared" si="110"/>
        <v>0</v>
      </c>
      <c r="P376" s="239"/>
      <c r="Q376" s="256">
        <f t="shared" si="111"/>
        <v>0</v>
      </c>
    </row>
    <row r="377" spans="1:17" ht="12.75">
      <c r="A377" s="13" t="s">
        <v>307</v>
      </c>
      <c r="B377" s="60"/>
      <c r="C377" s="100">
        <v>3071</v>
      </c>
      <c r="D377" s="81">
        <f>-3071+420</f>
        <v>-2651</v>
      </c>
      <c r="E377" s="75"/>
      <c r="F377" s="144">
        <f t="shared" si="107"/>
        <v>420</v>
      </c>
      <c r="G377" s="146"/>
      <c r="H377" s="173"/>
      <c r="I377" s="186">
        <f t="shared" si="108"/>
        <v>420</v>
      </c>
      <c r="J377" s="229"/>
      <c r="K377" s="257"/>
      <c r="L377" s="186">
        <f t="shared" si="109"/>
        <v>420</v>
      </c>
      <c r="M377" s="264"/>
      <c r="N377" s="257"/>
      <c r="O377" s="186">
        <f t="shared" si="110"/>
        <v>420</v>
      </c>
      <c r="P377" s="239"/>
      <c r="Q377" s="256">
        <f t="shared" si="111"/>
        <v>420</v>
      </c>
    </row>
    <row r="378" spans="1:17" ht="12.75" hidden="1">
      <c r="A378" s="17" t="s">
        <v>213</v>
      </c>
      <c r="B378" s="60"/>
      <c r="C378" s="100"/>
      <c r="D378" s="81"/>
      <c r="E378" s="75"/>
      <c r="F378" s="144">
        <f t="shared" si="107"/>
        <v>0</v>
      </c>
      <c r="G378" s="146"/>
      <c r="H378" s="173"/>
      <c r="I378" s="186">
        <f t="shared" si="108"/>
        <v>0</v>
      </c>
      <c r="J378" s="229"/>
      <c r="K378" s="257"/>
      <c r="L378" s="186">
        <f t="shared" si="109"/>
        <v>0</v>
      </c>
      <c r="M378" s="264"/>
      <c r="N378" s="257"/>
      <c r="O378" s="186">
        <f t="shared" si="110"/>
        <v>0</v>
      </c>
      <c r="P378" s="239"/>
      <c r="Q378" s="256">
        <f t="shared" si="111"/>
        <v>0</v>
      </c>
    </row>
    <row r="379" spans="1:17" ht="12.75">
      <c r="A379" s="17" t="s">
        <v>180</v>
      </c>
      <c r="B379" s="60"/>
      <c r="C379" s="100">
        <v>82040</v>
      </c>
      <c r="D379" s="81">
        <f>223153.48+13199.17</f>
        <v>236352.65000000002</v>
      </c>
      <c r="E379" s="75"/>
      <c r="F379" s="144">
        <f t="shared" si="107"/>
        <v>318392.65</v>
      </c>
      <c r="G379" s="146">
        <f>-8000+49186.99+2456.01</f>
        <v>43643</v>
      </c>
      <c r="H379" s="173"/>
      <c r="I379" s="186">
        <f t="shared" si="108"/>
        <v>362035.65</v>
      </c>
      <c r="J379" s="229">
        <f>664.15+3537.63+326.57+3199.49-1519.34-1634.14+2250.99+4714.22+107475.99</f>
        <v>119015.56</v>
      </c>
      <c r="K379" s="257"/>
      <c r="L379" s="186">
        <f t="shared" si="109"/>
        <v>481051.21</v>
      </c>
      <c r="M379" s="264">
        <f>69397.22+1906.68+368.94+10440.33+113280.54</f>
        <v>195393.71</v>
      </c>
      <c r="N379" s="257"/>
      <c r="O379" s="186">
        <f t="shared" si="110"/>
        <v>676444.92</v>
      </c>
      <c r="P379" s="239"/>
      <c r="Q379" s="256">
        <f t="shared" si="111"/>
        <v>676444.92</v>
      </c>
    </row>
    <row r="380" spans="1:17" ht="12.75">
      <c r="A380" s="17" t="s">
        <v>181</v>
      </c>
      <c r="B380" s="60"/>
      <c r="C380" s="100">
        <v>19531</v>
      </c>
      <c r="D380" s="81">
        <f>1421.95+1579.52+435.09+647.68+21.78+6.05+43.56+2661.82+3539.3+618.15+828.99+1642.35+48.4+1824.91+364.77+23.4+1042.29+1963.76+1025.79+334.24+19.6+1010.16+46983.03-545+15693.8+2097.91+121.46+48.4+228.69+26.38+2998.76-12050-1000-2663+650.07+2572.1+1039.36+289.86+42.35+1387.91</f>
        <v>79025.64000000003</v>
      </c>
      <c r="E380" s="75"/>
      <c r="F380" s="144">
        <f t="shared" si="107"/>
        <v>98556.64000000003</v>
      </c>
      <c r="G380" s="146">
        <f>6096.26-10.62+2.85+117.72+316.02+2799.55+2.91+1760.73+175.5+3319.67+361.69+771.74+680.87+1586.68+200.99+39.75+3790.36+2847.9+3932.75+54.9+235.61+2687.79+5589.14+1307.58+56.87+468.2+1246.78+99.11+53.36+3685.14+3136.38</f>
        <v>47414.18000000001</v>
      </c>
      <c r="H380" s="173"/>
      <c r="I380" s="186">
        <f t="shared" si="108"/>
        <v>145970.82000000004</v>
      </c>
      <c r="J380" s="229">
        <f>10+205.89+462.8+2401.19+3567.56+2506.75+562.23+18.62+852.64+4560.15+767.87+81.92+1469.3+352.84+4951.26+2615.8+5456.26+69.04+6497.72+3865.84+411.38+303.2+34.6-147.69+2037.26+1381.01+149.58+24.2+1052.31+6821.22+1618.56+960.71+338.39</f>
        <v>56260.409999999996</v>
      </c>
      <c r="K380" s="257"/>
      <c r="L380" s="186">
        <f t="shared" si="109"/>
        <v>202231.23000000004</v>
      </c>
      <c r="M380" s="264">
        <f>176.44+1676.55+2299.03+400.99+910.87+8660.59+29.5+698.32+2737.26+5+226.92+151.64+48.4+96.8+2515.73+9.52+384.28+36.07+48.4+47.19+397.36+39.93+310.88+641.2+1867.11+889.99</f>
        <v>25305.970000000005</v>
      </c>
      <c r="N380" s="257">
        <v>16809.69</v>
      </c>
      <c r="O380" s="186">
        <f t="shared" si="110"/>
        <v>244346.89000000004</v>
      </c>
      <c r="P380" s="239"/>
      <c r="Q380" s="256">
        <f t="shared" si="111"/>
        <v>244346.89000000004</v>
      </c>
    </row>
    <row r="381" spans="1:17" ht="12.75">
      <c r="A381" s="17" t="s">
        <v>187</v>
      </c>
      <c r="B381" s="60"/>
      <c r="C381" s="100">
        <v>57230</v>
      </c>
      <c r="D381" s="81">
        <f>1157.99+12622.64</f>
        <v>13780.63</v>
      </c>
      <c r="E381" s="75"/>
      <c r="F381" s="144">
        <f t="shared" si="107"/>
        <v>71010.63</v>
      </c>
      <c r="G381" s="146"/>
      <c r="H381" s="173"/>
      <c r="I381" s="186">
        <f t="shared" si="108"/>
        <v>71010.63</v>
      </c>
      <c r="J381" s="229">
        <f>106.56+5000</f>
        <v>5106.56</v>
      </c>
      <c r="K381" s="257"/>
      <c r="L381" s="186">
        <f t="shared" si="109"/>
        <v>76117.19</v>
      </c>
      <c r="M381" s="264">
        <f>1170.95+2408.18+150+433.75+5279.11+4149.62+4165.51</f>
        <v>17757.120000000003</v>
      </c>
      <c r="N381" s="257"/>
      <c r="O381" s="186">
        <f t="shared" si="110"/>
        <v>93874.31</v>
      </c>
      <c r="P381" s="239"/>
      <c r="Q381" s="256">
        <f t="shared" si="111"/>
        <v>93874.31</v>
      </c>
    </row>
    <row r="382" spans="1:17" ht="12.75">
      <c r="A382" s="17" t="s">
        <v>198</v>
      </c>
      <c r="B382" s="60"/>
      <c r="C382" s="100">
        <v>50803</v>
      </c>
      <c r="D382" s="81">
        <f>689.65+810.9-3364+30480.21+547.34-9000-30657+1094.51</f>
        <v>-9398.390000000001</v>
      </c>
      <c r="E382" s="75"/>
      <c r="F382" s="144">
        <f t="shared" si="107"/>
        <v>41404.61</v>
      </c>
      <c r="G382" s="146">
        <f>519.71+1507.84+419.1+42.14+798.92-2.1-2000-9000-1000-272.07</f>
        <v>-8986.46</v>
      </c>
      <c r="H382" s="173"/>
      <c r="I382" s="186">
        <f t="shared" si="108"/>
        <v>32418.15</v>
      </c>
      <c r="J382" s="229">
        <f>137.46+2154.03+86.58+2812.86+351.86+136.8+2243.97+304.91</f>
        <v>8228.47</v>
      </c>
      <c r="K382" s="257"/>
      <c r="L382" s="186">
        <f t="shared" si="109"/>
        <v>40646.62</v>
      </c>
      <c r="M382" s="264">
        <f>3672.71+4343.63+58.81+2665.64+79.49+500+913.52</f>
        <v>12233.800000000001</v>
      </c>
      <c r="N382" s="257">
        <v>571.55</v>
      </c>
      <c r="O382" s="186">
        <f t="shared" si="110"/>
        <v>53451.97000000001</v>
      </c>
      <c r="P382" s="239"/>
      <c r="Q382" s="256">
        <f t="shared" si="111"/>
        <v>53451.97000000001</v>
      </c>
    </row>
    <row r="383" spans="1:17" ht="12.75">
      <c r="A383" s="17" t="s">
        <v>182</v>
      </c>
      <c r="B383" s="60"/>
      <c r="C383" s="100">
        <v>8641</v>
      </c>
      <c r="D383" s="75">
        <f>1265.87+608.05+1165.23+37309.97+656.05+492.6+17.97</f>
        <v>41515.740000000005</v>
      </c>
      <c r="E383" s="75"/>
      <c r="F383" s="144">
        <f t="shared" si="107"/>
        <v>50156.740000000005</v>
      </c>
      <c r="G383" s="154">
        <f>1477.93+1565.67+1.09+17.97+566.54+835.67+260.6+18.51+18.51+800+6500</f>
        <v>12062.490000000002</v>
      </c>
      <c r="H383" s="173"/>
      <c r="I383" s="186">
        <f t="shared" si="108"/>
        <v>62219.23000000001</v>
      </c>
      <c r="J383" s="229">
        <f>346.52+2170.56+2557.19+685.43+1445.69+219.77+768.31+2465.36+1560.62+450+1379.37+686.42+1277.47</f>
        <v>16012.71</v>
      </c>
      <c r="K383" s="257"/>
      <c r="L383" s="186">
        <f t="shared" si="109"/>
        <v>78231.94</v>
      </c>
      <c r="M383" s="264">
        <f>1103.79+1666.08+17.97+646.43+18.51+17.97+18.51+1876.64+928.99+18.51+749.72+958.12</f>
        <v>8021.24</v>
      </c>
      <c r="N383" s="257"/>
      <c r="O383" s="186">
        <f t="shared" si="110"/>
        <v>86253.18000000001</v>
      </c>
      <c r="P383" s="239"/>
      <c r="Q383" s="256">
        <f t="shared" si="111"/>
        <v>86253.18000000001</v>
      </c>
    </row>
    <row r="384" spans="1:17" ht="12.75">
      <c r="A384" s="17" t="s">
        <v>257</v>
      </c>
      <c r="B384" s="60">
        <v>2088</v>
      </c>
      <c r="C384" s="100"/>
      <c r="D384" s="75">
        <f>54326.96</f>
        <v>54326.96</v>
      </c>
      <c r="E384" s="75"/>
      <c r="F384" s="144">
        <f t="shared" si="107"/>
        <v>54326.96</v>
      </c>
      <c r="G384" s="146">
        <f>-49186.99</f>
        <v>-49186.99</v>
      </c>
      <c r="H384" s="173"/>
      <c r="I384" s="186">
        <f t="shared" si="108"/>
        <v>5139.970000000001</v>
      </c>
      <c r="J384" s="229">
        <f>10494.85+15861.3+14195.2+3795.74+5859.35+45757+960.06+13113.52+37067.78+1379.76+3056.1+7254.94+19066.48+224.72+13889.92-107475.99</f>
        <v>84500.73000000003</v>
      </c>
      <c r="K384" s="257"/>
      <c r="L384" s="186">
        <f t="shared" si="109"/>
        <v>89640.70000000003</v>
      </c>
      <c r="M384" s="264">
        <f>25114.89-69397.22+8249.49+20526.15+22446.17+37253.05-368.94-10440.33+14616.39+12009.51+10350.89+27085.32+37295.9+27833.84-113280.54</f>
        <v>49294.56999999999</v>
      </c>
      <c r="N384" s="257"/>
      <c r="O384" s="186">
        <f t="shared" si="110"/>
        <v>138935.27000000002</v>
      </c>
      <c r="P384" s="239"/>
      <c r="Q384" s="256">
        <f t="shared" si="111"/>
        <v>138935.27000000002</v>
      </c>
    </row>
    <row r="385" spans="1:19" ht="12.75">
      <c r="A385" s="17" t="s">
        <v>258</v>
      </c>
      <c r="B385" s="60">
        <v>2077</v>
      </c>
      <c r="C385" s="100">
        <v>5000</v>
      </c>
      <c r="D385" s="75">
        <f>96915.92-388.61-23.11-2.34-699.88-167.12+4315+545+33-121.46-23.11-228.69-26.38-6.05+9000+30657+12050+1000+2663+26.5-52.48-25.41-832.75-20.57-20.57</f>
        <v>154566.88999999996</v>
      </c>
      <c r="E385" s="75"/>
      <c r="F385" s="144">
        <f t="shared" si="107"/>
        <v>159566.88999999996</v>
      </c>
      <c r="G385" s="146">
        <f>4.7-11.77-87.19-1396.99-105.3-463.04-414.52-20.1-23.85-1708.74-1965.77-23.56-2660.17-2794.57-96.8+2000+9000+1000-27.83-292.72-2211.08</f>
        <v>-2299.2999999999984</v>
      </c>
      <c r="H385" s="173"/>
      <c r="I385" s="186">
        <f t="shared" si="108"/>
        <v>157267.58999999997</v>
      </c>
      <c r="J385" s="229">
        <f>-46.28-15.73-15.73-1785.59-406.58-852.64-2003.24-76.79-81.92-1469.3-1770.75-41.42-3366.22-2796.25-41.14-34.6+183.99-136.8-138.1-149.58-24.2-1052.31+964.06-4056.57-1206.9-960.71</f>
        <v>-21381.3</v>
      </c>
      <c r="K385" s="257"/>
      <c r="L385" s="186">
        <f t="shared" si="109"/>
        <v>135886.28999999998</v>
      </c>
      <c r="M385" s="264">
        <f>-400.99-1379.42-1676.55-111.05-273.73-698.32-29.5-4830.41-5-22.69-103.09-25.29-1906.68-96.8-198.09-1702.82-9.52-384.28-25.29-36.07-397.36-24.32-3.99-79.49-1000-186.53-641.2-1652.16-89.45</f>
        <v>-17990.090000000007</v>
      </c>
      <c r="N385" s="257"/>
      <c r="O385" s="186">
        <f t="shared" si="110"/>
        <v>117896.19999999997</v>
      </c>
      <c r="P385" s="239"/>
      <c r="Q385" s="256">
        <f t="shared" si="111"/>
        <v>117896.19999999997</v>
      </c>
      <c r="S385" s="102"/>
    </row>
    <row r="386" spans="1:19" ht="12.75">
      <c r="A386" s="24" t="s">
        <v>259</v>
      </c>
      <c r="B386" s="63">
        <v>2099</v>
      </c>
      <c r="C386" s="118"/>
      <c r="D386" s="79">
        <f>213890.38-1421.95-1725.72-435.09-259.07-21.78-43.56-2661.82-4033.52-689.65-1265.87-608.05-1165.23-618.15-828.99-1644.24-25.29-2556.72-59.79-364.77-1157.99-21.06-342.41-1963.76-810.9-1025.79-1567.84-167.12-19.6-27.8-47113.71-2097.91-718.74-547.34-25.29+47113.71-35000-21.78-3357.5-656.05-663.24-2572.1-1039.36-492.6-17.97+9668.73-237.38-1094.51-16.94-555.16+4227.97+5824.56</f>
        <v>156964.24000000005</v>
      </c>
      <c r="E386" s="79">
        <f>-392.57</f>
        <v>-392.57</v>
      </c>
      <c r="F386" s="97">
        <f t="shared" si="107"/>
        <v>156571.67000000004</v>
      </c>
      <c r="G386" s="152">
        <f>8950.82+12193.61+3307.21+20988.14+10942.55+11104.58+5.92-2.85-105.95-313.45-1402.56-519.71-2.91-2123.26-70.2-3319.67-361.69-1477.93-1565.67-1.09-308.7-266.35-1586.68-2622.4-180.89-59.67-15.9-1507.84-419.1-3790.36-1139.16-1966.98-17.97-835.67-566.54-54.9+2657.81-586.02-27.62-2794.57-1307.58-216.63+4549.5+19465.51-798.92-65000+2.1+272.07-29.04-175.48-1246.78-3321.15-2134.95+10000-260.6-18.51-18.51-99.11-53.36-1474.06-2456.01+28988.22+6934.92-138.03+8505.92+10004.91-3136.38</f>
        <v>46974.430000000015</v>
      </c>
      <c r="H386" s="178"/>
      <c r="I386" s="191">
        <f t="shared" si="108"/>
        <v>203546.10000000006</v>
      </c>
      <c r="J386" s="245">
        <f>3407.52+9484.56+9878.2+1140.62-10-346.52-2170.56-2557.19-205.89-555.54-137.46-2401.19-3537.63-4916.27-721.16-155.65-2154.03-685.43-1445.69-18.62-219.77-2556.91-691.08-10638.84-10510.17-43.56-202.6-86.58-1048.9-4951.26-2812.86-845.05-326.57-3199.49-768.31-5456.26-27.62-351.86-3131.5-1069.59-370.24-2465.36-1560.62-106.56+1041.26-16563.46-10044.26-303.2+16832.58+18156.81+2489.74+13.89+10.67+9.05+2978.65+23.43-5000+1519.34+38.2-2037.26-1242.91-26.96-2250.99-4714.22-2243.97-2115-2764.65+13.34+3390.33-1379.37-686.42-1277.47-304.91-411.66-338.39</f>
        <v>-58737.30000000002</v>
      </c>
      <c r="K386" s="261"/>
      <c r="L386" s="191">
        <f t="shared" si="109"/>
        <v>144808.80000000005</v>
      </c>
      <c r="M386" s="213">
        <f>6086.63+12888.54+7615.31+6193.72-176.44-919.61-1000.21-17.97-1666.08-1103.79-1170.95-3672.71-2408.18-646.43-3830.18-2485.31+2893.6+7431.38-500-697.94-18.51-17.97-48.55-4343.63-23.11-18.51-433.75-1782.81-1876.64-5279.11-812.91-928.99+13.29-23.11-58.81-2665.64-18.51+994.88-22.87-35.94-749.72+30307.61-4149.62-100000+11674.72-124.35-958.12-4165.51-214.95-1073.75-844.1-29265.23</f>
        <v>-94150.83999999998</v>
      </c>
      <c r="N386" s="261">
        <v>-17729.76</v>
      </c>
      <c r="O386" s="191">
        <f>L386+M386+N386</f>
        <v>32928.20000000007</v>
      </c>
      <c r="P386" s="262"/>
      <c r="Q386" s="263">
        <f t="shared" si="111"/>
        <v>32928.20000000007</v>
      </c>
      <c r="S386" s="102"/>
    </row>
    <row r="387" spans="1:17" ht="12.75">
      <c r="A387" s="10" t="s">
        <v>103</v>
      </c>
      <c r="B387" s="64"/>
      <c r="C387" s="105">
        <f aca="true" t="shared" si="113" ref="C387:Q387">C388+C412</f>
        <v>235617.8</v>
      </c>
      <c r="D387" s="74">
        <f t="shared" si="113"/>
        <v>928303.42</v>
      </c>
      <c r="E387" s="74">
        <f t="shared" si="113"/>
        <v>0</v>
      </c>
      <c r="F387" s="204">
        <f t="shared" si="113"/>
        <v>1163921.22</v>
      </c>
      <c r="G387" s="145">
        <f t="shared" si="113"/>
        <v>5728.38</v>
      </c>
      <c r="H387" s="172">
        <f t="shared" si="113"/>
        <v>0</v>
      </c>
      <c r="I387" s="185">
        <f t="shared" si="113"/>
        <v>1169649.6</v>
      </c>
      <c r="J387" s="238">
        <f t="shared" si="113"/>
        <v>87310.37000000001</v>
      </c>
      <c r="K387" s="255">
        <f t="shared" si="113"/>
        <v>350</v>
      </c>
      <c r="L387" s="185">
        <f t="shared" si="113"/>
        <v>1257309.97</v>
      </c>
      <c r="M387" s="254">
        <f t="shared" si="113"/>
        <v>87988.74</v>
      </c>
      <c r="N387" s="255">
        <f t="shared" si="113"/>
        <v>0</v>
      </c>
      <c r="O387" s="185">
        <f t="shared" si="113"/>
        <v>1345298.71</v>
      </c>
      <c r="P387" s="238">
        <f t="shared" si="113"/>
        <v>0</v>
      </c>
      <c r="Q387" s="221">
        <f t="shared" si="113"/>
        <v>1268796.21</v>
      </c>
    </row>
    <row r="388" spans="1:17" ht="12.75">
      <c r="A388" s="19" t="s">
        <v>55</v>
      </c>
      <c r="B388" s="64"/>
      <c r="C388" s="117">
        <f aca="true" t="shared" si="114" ref="C388:Q388">SUM(C390:C411)</f>
        <v>235617.8</v>
      </c>
      <c r="D388" s="78">
        <f t="shared" si="114"/>
        <v>928303.42</v>
      </c>
      <c r="E388" s="78">
        <f t="shared" si="114"/>
        <v>0</v>
      </c>
      <c r="F388" s="206">
        <f t="shared" si="114"/>
        <v>1163921.22</v>
      </c>
      <c r="G388" s="150">
        <f t="shared" si="114"/>
        <v>1548.38</v>
      </c>
      <c r="H388" s="176">
        <f t="shared" si="114"/>
        <v>0</v>
      </c>
      <c r="I388" s="189">
        <f t="shared" si="114"/>
        <v>1165469.6</v>
      </c>
      <c r="J388" s="243">
        <f t="shared" si="114"/>
        <v>87310.37000000001</v>
      </c>
      <c r="K388" s="280">
        <f t="shared" si="114"/>
        <v>350</v>
      </c>
      <c r="L388" s="189">
        <f t="shared" si="114"/>
        <v>1253129.97</v>
      </c>
      <c r="M388" s="298">
        <f t="shared" si="114"/>
        <v>87988.74</v>
      </c>
      <c r="N388" s="280">
        <f t="shared" si="114"/>
        <v>0</v>
      </c>
      <c r="O388" s="189">
        <f t="shared" si="114"/>
        <v>1341118.71</v>
      </c>
      <c r="P388" s="243">
        <f t="shared" si="114"/>
        <v>0</v>
      </c>
      <c r="Q388" s="224">
        <f t="shared" si="114"/>
        <v>1264616.21</v>
      </c>
    </row>
    <row r="389" spans="1:17" ht="12.75">
      <c r="A389" s="15" t="s">
        <v>27</v>
      </c>
      <c r="B389" s="60"/>
      <c r="C389" s="100"/>
      <c r="D389" s="75"/>
      <c r="E389" s="75"/>
      <c r="F389" s="144"/>
      <c r="G389" s="146"/>
      <c r="H389" s="173"/>
      <c r="I389" s="186"/>
      <c r="J389" s="229"/>
      <c r="K389" s="257"/>
      <c r="L389" s="186"/>
      <c r="M389" s="156"/>
      <c r="N389" s="257"/>
      <c r="O389" s="186"/>
      <c r="P389" s="239"/>
      <c r="Q389" s="256"/>
    </row>
    <row r="390" spans="1:17" ht="12.75">
      <c r="A390" s="26" t="s">
        <v>104</v>
      </c>
      <c r="B390" s="66"/>
      <c r="C390" s="100">
        <v>179520</v>
      </c>
      <c r="D390" s="75"/>
      <c r="E390" s="75"/>
      <c r="F390" s="144">
        <f aca="true" t="shared" si="115" ref="F390:F411">C390+D390+E390</f>
        <v>179520</v>
      </c>
      <c r="G390" s="146"/>
      <c r="H390" s="173"/>
      <c r="I390" s="186">
        <f>F390+G390+H390</f>
        <v>179520</v>
      </c>
      <c r="J390" s="241">
        <v>22000</v>
      </c>
      <c r="K390" s="257">
        <f>350</f>
        <v>350</v>
      </c>
      <c r="L390" s="186">
        <f>I390+J390+K390</f>
        <v>201870</v>
      </c>
      <c r="M390" s="156"/>
      <c r="N390" s="257"/>
      <c r="O390" s="186">
        <f>L390+M390+N390</f>
        <v>201870</v>
      </c>
      <c r="P390" s="239"/>
      <c r="Q390" s="256">
        <f>O390+P390</f>
        <v>201870</v>
      </c>
    </row>
    <row r="391" spans="1:17" ht="12.75" hidden="1">
      <c r="A391" s="61" t="s">
        <v>225</v>
      </c>
      <c r="B391" s="66"/>
      <c r="C391" s="100"/>
      <c r="D391" s="75"/>
      <c r="E391" s="75"/>
      <c r="F391" s="144">
        <f t="shared" si="115"/>
        <v>0</v>
      </c>
      <c r="G391" s="146"/>
      <c r="H391" s="173"/>
      <c r="I391" s="186">
        <f aca="true" t="shared" si="116" ref="I391:I411">F391+G391+H391</f>
        <v>0</v>
      </c>
      <c r="J391" s="241"/>
      <c r="K391" s="257"/>
      <c r="L391" s="186">
        <f aca="true" t="shared" si="117" ref="L391:L406">I391+J391+K391</f>
        <v>0</v>
      </c>
      <c r="M391" s="156"/>
      <c r="N391" s="257"/>
      <c r="O391" s="186">
        <f aca="true" t="shared" si="118" ref="O391:O409">L391+M391+N391</f>
        <v>0</v>
      </c>
      <c r="P391" s="239"/>
      <c r="Q391" s="256">
        <f aca="true" t="shared" si="119" ref="Q391:Q409">O391+P391</f>
        <v>0</v>
      </c>
    </row>
    <row r="392" spans="1:17" ht="12.75" hidden="1">
      <c r="A392" s="13" t="s">
        <v>154</v>
      </c>
      <c r="B392" s="60"/>
      <c r="C392" s="100"/>
      <c r="D392" s="75"/>
      <c r="E392" s="75"/>
      <c r="F392" s="144">
        <f t="shared" si="115"/>
        <v>0</v>
      </c>
      <c r="G392" s="146"/>
      <c r="H392" s="173"/>
      <c r="I392" s="186">
        <f t="shared" si="116"/>
        <v>0</v>
      </c>
      <c r="J392" s="241"/>
      <c r="K392" s="257"/>
      <c r="L392" s="186">
        <f t="shared" si="117"/>
        <v>0</v>
      </c>
      <c r="M392" s="156"/>
      <c r="N392" s="257"/>
      <c r="O392" s="186">
        <f t="shared" si="118"/>
        <v>0</v>
      </c>
      <c r="P392" s="239"/>
      <c r="Q392" s="256">
        <f t="shared" si="119"/>
        <v>0</v>
      </c>
    </row>
    <row r="393" spans="1:17" ht="12.75">
      <c r="A393" s="13" t="s">
        <v>170</v>
      </c>
      <c r="B393" s="60">
        <v>1228</v>
      </c>
      <c r="C393" s="100">
        <v>45500</v>
      </c>
      <c r="D393" s="75"/>
      <c r="E393" s="75"/>
      <c r="F393" s="144">
        <f t="shared" si="115"/>
        <v>45500</v>
      </c>
      <c r="G393" s="146"/>
      <c r="H393" s="173"/>
      <c r="I393" s="186">
        <f t="shared" si="116"/>
        <v>45500</v>
      </c>
      <c r="J393" s="241">
        <v>3000</v>
      </c>
      <c r="K393" s="257"/>
      <c r="L393" s="186">
        <f t="shared" si="117"/>
        <v>48500</v>
      </c>
      <c r="M393" s="156">
        <v>2000</v>
      </c>
      <c r="N393" s="257"/>
      <c r="O393" s="186">
        <f t="shared" si="118"/>
        <v>50500</v>
      </c>
      <c r="P393" s="239"/>
      <c r="Q393" s="256">
        <f t="shared" si="119"/>
        <v>50500</v>
      </c>
    </row>
    <row r="394" spans="1:17" ht="12.75">
      <c r="A394" s="13" t="s">
        <v>57</v>
      </c>
      <c r="B394" s="60"/>
      <c r="C394" s="100">
        <v>10597.8</v>
      </c>
      <c r="D394" s="75">
        <f>407+317</f>
        <v>724</v>
      </c>
      <c r="E394" s="75"/>
      <c r="F394" s="144">
        <f t="shared" si="115"/>
        <v>11321.8</v>
      </c>
      <c r="G394" s="146"/>
      <c r="H394" s="173"/>
      <c r="I394" s="186">
        <f t="shared" si="116"/>
        <v>11321.8</v>
      </c>
      <c r="J394" s="229"/>
      <c r="K394" s="257"/>
      <c r="L394" s="186">
        <f t="shared" si="117"/>
        <v>11321.8</v>
      </c>
      <c r="M394" s="156"/>
      <c r="N394" s="257"/>
      <c r="O394" s="186">
        <f t="shared" si="118"/>
        <v>11321.8</v>
      </c>
      <c r="P394" s="239"/>
      <c r="Q394" s="256">
        <f t="shared" si="119"/>
        <v>11321.8</v>
      </c>
    </row>
    <row r="395" spans="1:17" ht="12.75" hidden="1">
      <c r="A395" s="13" t="s">
        <v>71</v>
      </c>
      <c r="B395" s="60"/>
      <c r="C395" s="100"/>
      <c r="D395" s="75"/>
      <c r="E395" s="75"/>
      <c r="F395" s="144">
        <f t="shared" si="115"/>
        <v>0</v>
      </c>
      <c r="G395" s="146"/>
      <c r="H395" s="173"/>
      <c r="I395" s="186">
        <f t="shared" si="116"/>
        <v>0</v>
      </c>
      <c r="J395" s="229"/>
      <c r="K395" s="257"/>
      <c r="L395" s="186">
        <f t="shared" si="117"/>
        <v>0</v>
      </c>
      <c r="M395" s="156"/>
      <c r="N395" s="257"/>
      <c r="O395" s="186">
        <f t="shared" si="118"/>
        <v>0</v>
      </c>
      <c r="P395" s="239"/>
      <c r="Q395" s="256">
        <f t="shared" si="119"/>
        <v>0</v>
      </c>
    </row>
    <row r="396" spans="1:17" ht="12.75">
      <c r="A396" s="13" t="s">
        <v>291</v>
      </c>
      <c r="B396" s="60">
        <v>13013</v>
      </c>
      <c r="C396" s="100"/>
      <c r="D396" s="75"/>
      <c r="E396" s="75"/>
      <c r="F396" s="144">
        <f t="shared" si="115"/>
        <v>0</v>
      </c>
      <c r="G396" s="146">
        <f>380+657.38</f>
        <v>1037.38</v>
      </c>
      <c r="H396" s="173"/>
      <c r="I396" s="186">
        <f t="shared" si="116"/>
        <v>1037.38</v>
      </c>
      <c r="J396" s="229"/>
      <c r="K396" s="257"/>
      <c r="L396" s="186">
        <f t="shared" si="117"/>
        <v>1037.38</v>
      </c>
      <c r="M396" s="156"/>
      <c r="N396" s="257"/>
      <c r="O396" s="186">
        <f t="shared" si="118"/>
        <v>1037.38</v>
      </c>
      <c r="P396" s="239"/>
      <c r="Q396" s="256">
        <f t="shared" si="119"/>
        <v>1037.38</v>
      </c>
    </row>
    <row r="397" spans="1:17" ht="12.75" hidden="1">
      <c r="A397" s="61" t="s">
        <v>314</v>
      </c>
      <c r="B397" s="60">
        <v>2043</v>
      </c>
      <c r="C397" s="100"/>
      <c r="D397" s="75"/>
      <c r="E397" s="75"/>
      <c r="F397" s="144">
        <f t="shared" si="115"/>
        <v>0</v>
      </c>
      <c r="G397" s="146"/>
      <c r="H397" s="173"/>
      <c r="I397" s="186">
        <f t="shared" si="116"/>
        <v>0</v>
      </c>
      <c r="J397" s="229"/>
      <c r="K397" s="257"/>
      <c r="L397" s="186">
        <f t="shared" si="117"/>
        <v>0</v>
      </c>
      <c r="M397" s="156"/>
      <c r="N397" s="257"/>
      <c r="O397" s="186">
        <f t="shared" si="118"/>
        <v>0</v>
      </c>
      <c r="P397" s="239"/>
      <c r="Q397" s="256">
        <f t="shared" si="119"/>
        <v>0</v>
      </c>
    </row>
    <row r="398" spans="1:17" ht="12.75">
      <c r="A398" s="61" t="s">
        <v>318</v>
      </c>
      <c r="B398" s="60">
        <v>2177</v>
      </c>
      <c r="C398" s="100"/>
      <c r="D398" s="75">
        <f>5874.31</f>
        <v>5874.31</v>
      </c>
      <c r="E398" s="75"/>
      <c r="F398" s="144">
        <f t="shared" si="115"/>
        <v>5874.31</v>
      </c>
      <c r="G398" s="146"/>
      <c r="H398" s="173"/>
      <c r="I398" s="186">
        <f t="shared" si="116"/>
        <v>5874.31</v>
      </c>
      <c r="J398" s="229"/>
      <c r="K398" s="257"/>
      <c r="L398" s="186">
        <f t="shared" si="117"/>
        <v>5874.31</v>
      </c>
      <c r="M398" s="156">
        <f>386.66</f>
        <v>386.66</v>
      </c>
      <c r="N398" s="257"/>
      <c r="O398" s="186">
        <f t="shared" si="118"/>
        <v>6260.97</v>
      </c>
      <c r="P398" s="239"/>
      <c r="Q398" s="256">
        <f t="shared" si="119"/>
        <v>6260.97</v>
      </c>
    </row>
    <row r="399" spans="1:17" ht="12.75">
      <c r="A399" s="13" t="s">
        <v>315</v>
      </c>
      <c r="B399" s="60">
        <v>2050</v>
      </c>
      <c r="C399" s="100"/>
      <c r="D399" s="75">
        <f>40706.05+1156.84</f>
        <v>41862.89</v>
      </c>
      <c r="E399" s="75"/>
      <c r="F399" s="144">
        <f t="shared" si="115"/>
        <v>41862.89</v>
      </c>
      <c r="G399" s="146"/>
      <c r="H399" s="173"/>
      <c r="I399" s="186">
        <f t="shared" si="116"/>
        <v>41862.89</v>
      </c>
      <c r="J399" s="229"/>
      <c r="K399" s="257"/>
      <c r="L399" s="186">
        <f t="shared" si="117"/>
        <v>41862.89</v>
      </c>
      <c r="M399" s="156">
        <v>176.76</v>
      </c>
      <c r="N399" s="257"/>
      <c r="O399" s="186">
        <f t="shared" si="118"/>
        <v>42039.65</v>
      </c>
      <c r="P399" s="239"/>
      <c r="Q399" s="256">
        <f t="shared" si="119"/>
        <v>42039.65</v>
      </c>
    </row>
    <row r="400" spans="1:17" ht="12.75">
      <c r="A400" s="13" t="s">
        <v>397</v>
      </c>
      <c r="B400" s="60">
        <v>2073</v>
      </c>
      <c r="C400" s="100"/>
      <c r="D400" s="75"/>
      <c r="E400" s="75"/>
      <c r="F400" s="144">
        <f t="shared" si="115"/>
        <v>0</v>
      </c>
      <c r="G400" s="146"/>
      <c r="H400" s="173"/>
      <c r="I400" s="186">
        <f t="shared" si="116"/>
        <v>0</v>
      </c>
      <c r="J400" s="229"/>
      <c r="K400" s="257"/>
      <c r="L400" s="186">
        <f t="shared" si="117"/>
        <v>0</v>
      </c>
      <c r="M400" s="156">
        <v>5253.82</v>
      </c>
      <c r="N400" s="257"/>
      <c r="O400" s="186">
        <f t="shared" si="118"/>
        <v>5253.82</v>
      </c>
      <c r="P400" s="239"/>
      <c r="Q400" s="256">
        <f t="shared" si="119"/>
        <v>5253.82</v>
      </c>
    </row>
    <row r="401" spans="1:17" ht="12.75">
      <c r="A401" s="13" t="s">
        <v>316</v>
      </c>
      <c r="B401" s="60">
        <v>2073</v>
      </c>
      <c r="C401" s="100"/>
      <c r="D401" s="75">
        <f>24426.27+209.01</f>
        <v>24635.28</v>
      </c>
      <c r="E401" s="75"/>
      <c r="F401" s="144">
        <f t="shared" si="115"/>
        <v>24635.28</v>
      </c>
      <c r="G401" s="146"/>
      <c r="H401" s="173"/>
      <c r="I401" s="186">
        <f t="shared" si="116"/>
        <v>24635.28</v>
      </c>
      <c r="J401" s="229"/>
      <c r="K401" s="257"/>
      <c r="L401" s="186">
        <f t="shared" si="117"/>
        <v>24635.28</v>
      </c>
      <c r="M401" s="156"/>
      <c r="N401" s="257"/>
      <c r="O401" s="186">
        <f t="shared" si="118"/>
        <v>24635.28</v>
      </c>
      <c r="P401" s="239"/>
      <c r="Q401" s="256">
        <f t="shared" si="119"/>
        <v>24635.28</v>
      </c>
    </row>
    <row r="402" spans="1:17" ht="12.75">
      <c r="A402" s="13" t="s">
        <v>394</v>
      </c>
      <c r="B402" s="60">
        <v>1230</v>
      </c>
      <c r="C402" s="100"/>
      <c r="D402" s="75"/>
      <c r="E402" s="75"/>
      <c r="F402" s="144"/>
      <c r="G402" s="146"/>
      <c r="H402" s="173"/>
      <c r="I402" s="186"/>
      <c r="J402" s="229"/>
      <c r="K402" s="257"/>
      <c r="L402" s="186"/>
      <c r="M402" s="156">
        <v>76502.5</v>
      </c>
      <c r="N402" s="257"/>
      <c r="O402" s="186">
        <f t="shared" si="118"/>
        <v>76502.5</v>
      </c>
      <c r="P402" s="239"/>
      <c r="Q402" s="256"/>
    </row>
    <row r="403" spans="1:17" ht="12.75">
      <c r="A403" s="13" t="s">
        <v>313</v>
      </c>
      <c r="B403" s="60">
        <v>2044</v>
      </c>
      <c r="C403" s="100"/>
      <c r="D403" s="75">
        <f>3568.74</f>
        <v>3568.74</v>
      </c>
      <c r="E403" s="75"/>
      <c r="F403" s="144">
        <f t="shared" si="115"/>
        <v>3568.74</v>
      </c>
      <c r="G403" s="146"/>
      <c r="H403" s="173"/>
      <c r="I403" s="186">
        <f t="shared" si="116"/>
        <v>3568.74</v>
      </c>
      <c r="J403" s="229"/>
      <c r="K403" s="257"/>
      <c r="L403" s="186">
        <f t="shared" si="117"/>
        <v>3568.74</v>
      </c>
      <c r="M403" s="156"/>
      <c r="N403" s="257"/>
      <c r="O403" s="186">
        <f t="shared" si="118"/>
        <v>3568.74</v>
      </c>
      <c r="P403" s="239"/>
      <c r="Q403" s="256">
        <f t="shared" si="119"/>
        <v>3568.74</v>
      </c>
    </row>
    <row r="404" spans="1:17" ht="12.75">
      <c r="A404" s="13" t="s">
        <v>346</v>
      </c>
      <c r="B404" s="60">
        <v>2044</v>
      </c>
      <c r="C404" s="100"/>
      <c r="D404" s="75"/>
      <c r="E404" s="75"/>
      <c r="F404" s="144">
        <f t="shared" si="115"/>
        <v>0</v>
      </c>
      <c r="G404" s="146">
        <f>331</f>
        <v>331</v>
      </c>
      <c r="H404" s="173"/>
      <c r="I404" s="186">
        <f t="shared" si="116"/>
        <v>331</v>
      </c>
      <c r="J404" s="229"/>
      <c r="K404" s="257"/>
      <c r="L404" s="186">
        <f t="shared" si="117"/>
        <v>331</v>
      </c>
      <c r="M404" s="156">
        <v>-331</v>
      </c>
      <c r="N404" s="257"/>
      <c r="O404" s="186">
        <f t="shared" si="118"/>
        <v>0</v>
      </c>
      <c r="P404" s="239"/>
      <c r="Q404" s="256">
        <f t="shared" si="119"/>
        <v>0</v>
      </c>
    </row>
    <row r="405" spans="1:17" ht="12.75">
      <c r="A405" s="13" t="s">
        <v>382</v>
      </c>
      <c r="B405" s="60"/>
      <c r="C405" s="100"/>
      <c r="D405" s="75"/>
      <c r="E405" s="75"/>
      <c r="F405" s="144"/>
      <c r="G405" s="146"/>
      <c r="H405" s="173"/>
      <c r="I405" s="186"/>
      <c r="J405" s="229">
        <v>6456.57</v>
      </c>
      <c r="K405" s="257"/>
      <c r="L405" s="186">
        <f t="shared" si="117"/>
        <v>6456.57</v>
      </c>
      <c r="M405" s="156"/>
      <c r="N405" s="257"/>
      <c r="O405" s="186">
        <f t="shared" si="118"/>
        <v>6456.57</v>
      </c>
      <c r="P405" s="239"/>
      <c r="Q405" s="256">
        <f t="shared" si="119"/>
        <v>6456.57</v>
      </c>
    </row>
    <row r="406" spans="1:17" ht="12.75">
      <c r="A406" s="22" t="s">
        <v>220</v>
      </c>
      <c r="B406" s="60">
        <v>13305</v>
      </c>
      <c r="C406" s="100"/>
      <c r="D406" s="75">
        <f>825803.8</f>
        <v>825803.8</v>
      </c>
      <c r="E406" s="75"/>
      <c r="F406" s="144">
        <f t="shared" si="115"/>
        <v>825803.8</v>
      </c>
      <c r="G406" s="146"/>
      <c r="H406" s="173"/>
      <c r="I406" s="186">
        <f t="shared" si="116"/>
        <v>825803.8</v>
      </c>
      <c r="J406" s="229">
        <f>54600</f>
        <v>54600</v>
      </c>
      <c r="K406" s="257"/>
      <c r="L406" s="186">
        <f t="shared" si="117"/>
        <v>880403.8</v>
      </c>
      <c r="M406" s="156"/>
      <c r="N406" s="257"/>
      <c r="O406" s="186">
        <f t="shared" si="118"/>
        <v>880403.8</v>
      </c>
      <c r="P406" s="239"/>
      <c r="Q406" s="256">
        <f t="shared" si="119"/>
        <v>880403.8</v>
      </c>
    </row>
    <row r="407" spans="1:17" ht="12.75">
      <c r="A407" s="13" t="s">
        <v>105</v>
      </c>
      <c r="B407" s="60">
        <v>13307</v>
      </c>
      <c r="C407" s="100"/>
      <c r="D407" s="75">
        <f>7000</f>
        <v>7000</v>
      </c>
      <c r="E407" s="75"/>
      <c r="F407" s="144">
        <f t="shared" si="115"/>
        <v>7000</v>
      </c>
      <c r="G407" s="146"/>
      <c r="H407" s="173"/>
      <c r="I407" s="186">
        <f t="shared" si="116"/>
        <v>7000</v>
      </c>
      <c r="J407" s="229"/>
      <c r="K407" s="257"/>
      <c r="L407" s="186">
        <f>I407+J407+K407</f>
        <v>7000</v>
      </c>
      <c r="M407" s="156"/>
      <c r="N407" s="257"/>
      <c r="O407" s="186">
        <f t="shared" si="118"/>
        <v>7000</v>
      </c>
      <c r="P407" s="239"/>
      <c r="Q407" s="256">
        <f t="shared" si="119"/>
        <v>7000</v>
      </c>
    </row>
    <row r="408" spans="1:17" ht="12.75">
      <c r="A408" s="13" t="s">
        <v>366</v>
      </c>
      <c r="B408" s="60"/>
      <c r="C408" s="100"/>
      <c r="D408" s="75"/>
      <c r="E408" s="75"/>
      <c r="F408" s="144"/>
      <c r="G408" s="146"/>
      <c r="H408" s="173"/>
      <c r="I408" s="186">
        <f t="shared" si="116"/>
        <v>0</v>
      </c>
      <c r="J408" s="229">
        <f>1061.8</f>
        <v>1061.8</v>
      </c>
      <c r="K408" s="257"/>
      <c r="L408" s="186">
        <f>I408+J408+K408</f>
        <v>1061.8</v>
      </c>
      <c r="M408" s="156"/>
      <c r="N408" s="257"/>
      <c r="O408" s="186">
        <f t="shared" si="118"/>
        <v>1061.8</v>
      </c>
      <c r="P408" s="239"/>
      <c r="Q408" s="256">
        <f t="shared" si="119"/>
        <v>1061.8</v>
      </c>
    </row>
    <row r="409" spans="1:17" ht="12.75">
      <c r="A409" s="13" t="s">
        <v>153</v>
      </c>
      <c r="B409" s="60">
        <v>14032</v>
      </c>
      <c r="C409" s="100"/>
      <c r="D409" s="75"/>
      <c r="E409" s="75"/>
      <c r="F409" s="144">
        <f t="shared" si="115"/>
        <v>0</v>
      </c>
      <c r="G409" s="146"/>
      <c r="H409" s="173"/>
      <c r="I409" s="186">
        <f t="shared" si="116"/>
        <v>0</v>
      </c>
      <c r="J409" s="229">
        <f>192</f>
        <v>192</v>
      </c>
      <c r="K409" s="257"/>
      <c r="L409" s="186">
        <f>I409+J409+K409</f>
        <v>192</v>
      </c>
      <c r="M409" s="156"/>
      <c r="N409" s="257"/>
      <c r="O409" s="186">
        <f t="shared" si="118"/>
        <v>192</v>
      </c>
      <c r="P409" s="239"/>
      <c r="Q409" s="256">
        <f t="shared" si="119"/>
        <v>192</v>
      </c>
    </row>
    <row r="410" spans="1:17" ht="12.75">
      <c r="A410" s="61" t="s">
        <v>358</v>
      </c>
      <c r="B410" s="60">
        <v>4359</v>
      </c>
      <c r="C410" s="100"/>
      <c r="D410" s="75"/>
      <c r="E410" s="75"/>
      <c r="F410" s="144">
        <f t="shared" si="115"/>
        <v>0</v>
      </c>
      <c r="G410" s="146">
        <f>180</f>
        <v>180</v>
      </c>
      <c r="H410" s="173"/>
      <c r="I410" s="186">
        <f t="shared" si="116"/>
        <v>180</v>
      </c>
      <c r="J410" s="229"/>
      <c r="K410" s="257"/>
      <c r="L410" s="186">
        <f>I410+J410+K410</f>
        <v>180</v>
      </c>
      <c r="M410" s="156"/>
      <c r="N410" s="257"/>
      <c r="O410" s="186">
        <f>L410+M410+N410</f>
        <v>180</v>
      </c>
      <c r="P410" s="239"/>
      <c r="Q410" s="256">
        <f>O410+P410</f>
        <v>180</v>
      </c>
    </row>
    <row r="411" spans="1:17" ht="12.75">
      <c r="A411" s="13" t="s">
        <v>86</v>
      </c>
      <c r="B411" s="60"/>
      <c r="C411" s="100"/>
      <c r="D411" s="75">
        <f>12690.05+60.57+714.64+5297.25+60.89+11</f>
        <v>18834.399999999998</v>
      </c>
      <c r="E411" s="75"/>
      <c r="F411" s="144">
        <f t="shared" si="115"/>
        <v>18834.399999999998</v>
      </c>
      <c r="G411" s="146"/>
      <c r="H411" s="173"/>
      <c r="I411" s="186">
        <f t="shared" si="116"/>
        <v>18834.399999999998</v>
      </c>
      <c r="J411" s="229"/>
      <c r="K411" s="257"/>
      <c r="L411" s="186">
        <f>I411+J411+K411</f>
        <v>18834.399999999998</v>
      </c>
      <c r="M411" s="156">
        <v>4000</v>
      </c>
      <c r="N411" s="257"/>
      <c r="O411" s="186">
        <f>L411+M411+N411</f>
        <v>22834.399999999998</v>
      </c>
      <c r="P411" s="239"/>
      <c r="Q411" s="256">
        <f>O411+P411</f>
        <v>22834.399999999998</v>
      </c>
    </row>
    <row r="412" spans="1:17" ht="12.75">
      <c r="A412" s="19" t="s">
        <v>60</v>
      </c>
      <c r="B412" s="64"/>
      <c r="C412" s="117">
        <f>SUM(C414:C416)</f>
        <v>0</v>
      </c>
      <c r="D412" s="78">
        <f aca="true" t="shared" si="120" ref="D412:Q412">SUM(D414:D416)</f>
        <v>0</v>
      </c>
      <c r="E412" s="78">
        <f t="shared" si="120"/>
        <v>0</v>
      </c>
      <c r="F412" s="206">
        <f t="shared" si="120"/>
        <v>0</v>
      </c>
      <c r="G412" s="150">
        <f t="shared" si="120"/>
        <v>4180</v>
      </c>
      <c r="H412" s="176">
        <f t="shared" si="120"/>
        <v>0</v>
      </c>
      <c r="I412" s="189">
        <f t="shared" si="120"/>
        <v>4180</v>
      </c>
      <c r="J412" s="243">
        <f t="shared" si="120"/>
        <v>0</v>
      </c>
      <c r="K412" s="280">
        <f t="shared" si="120"/>
        <v>0</v>
      </c>
      <c r="L412" s="189">
        <f t="shared" si="120"/>
        <v>4180</v>
      </c>
      <c r="M412" s="298">
        <f t="shared" si="120"/>
        <v>0</v>
      </c>
      <c r="N412" s="280">
        <f t="shared" si="120"/>
        <v>0</v>
      </c>
      <c r="O412" s="189">
        <f t="shared" si="120"/>
        <v>4180</v>
      </c>
      <c r="P412" s="243">
        <f t="shared" si="120"/>
        <v>0</v>
      </c>
      <c r="Q412" s="224">
        <f t="shared" si="120"/>
        <v>4180</v>
      </c>
    </row>
    <row r="413" spans="1:17" ht="12.75">
      <c r="A413" s="15" t="s">
        <v>27</v>
      </c>
      <c r="B413" s="60"/>
      <c r="C413" s="100"/>
      <c r="D413" s="75"/>
      <c r="E413" s="75"/>
      <c r="F413" s="144"/>
      <c r="G413" s="146"/>
      <c r="H413" s="173"/>
      <c r="I413" s="186"/>
      <c r="J413" s="229"/>
      <c r="K413" s="257"/>
      <c r="L413" s="186"/>
      <c r="M413" s="156"/>
      <c r="N413" s="257"/>
      <c r="O413" s="186"/>
      <c r="P413" s="239"/>
      <c r="Q413" s="256"/>
    </row>
    <row r="414" spans="1:17" ht="12.75" hidden="1">
      <c r="A414" s="13" t="s">
        <v>98</v>
      </c>
      <c r="B414" s="60"/>
      <c r="C414" s="100"/>
      <c r="D414" s="75"/>
      <c r="E414" s="75"/>
      <c r="F414" s="144">
        <f>C414+D414+E414</f>
        <v>0</v>
      </c>
      <c r="G414" s="146"/>
      <c r="H414" s="173"/>
      <c r="I414" s="186">
        <f>F414+G414+H414</f>
        <v>0</v>
      </c>
      <c r="J414" s="229"/>
      <c r="K414" s="257"/>
      <c r="L414" s="186">
        <f>I414+J414+K414</f>
        <v>0</v>
      </c>
      <c r="M414" s="156"/>
      <c r="N414" s="257"/>
      <c r="O414" s="186">
        <f>L414+M414+N414</f>
        <v>0</v>
      </c>
      <c r="P414" s="239"/>
      <c r="Q414" s="256">
        <f>O414+P414</f>
        <v>0</v>
      </c>
    </row>
    <row r="415" spans="1:17" ht="12.75">
      <c r="A415" s="16" t="s">
        <v>61</v>
      </c>
      <c r="B415" s="63"/>
      <c r="C415" s="118"/>
      <c r="D415" s="79"/>
      <c r="E415" s="79"/>
      <c r="F415" s="97">
        <f>C415+D415+E415</f>
        <v>0</v>
      </c>
      <c r="G415" s="152">
        <f>4180</f>
        <v>4180</v>
      </c>
      <c r="H415" s="178"/>
      <c r="I415" s="191">
        <f>F415+G415+H415</f>
        <v>4180</v>
      </c>
      <c r="J415" s="245"/>
      <c r="K415" s="261"/>
      <c r="L415" s="191">
        <f>I415+J415+K415</f>
        <v>4180</v>
      </c>
      <c r="M415" s="152"/>
      <c r="N415" s="261"/>
      <c r="O415" s="191">
        <f>L415+M415+N415</f>
        <v>4180</v>
      </c>
      <c r="P415" s="262"/>
      <c r="Q415" s="263">
        <f>O415+P415</f>
        <v>4180</v>
      </c>
    </row>
    <row r="416" spans="1:17" ht="12.75" hidden="1">
      <c r="A416" s="16" t="s">
        <v>86</v>
      </c>
      <c r="B416" s="63"/>
      <c r="C416" s="118"/>
      <c r="D416" s="79"/>
      <c r="E416" s="79"/>
      <c r="F416" s="97">
        <f>C416+D416+E416</f>
        <v>0</v>
      </c>
      <c r="G416" s="152"/>
      <c r="H416" s="178"/>
      <c r="I416" s="191">
        <f>F416+G416+H416</f>
        <v>0</v>
      </c>
      <c r="J416" s="229"/>
      <c r="K416" s="257"/>
      <c r="L416" s="186">
        <f>I416+J416+K416</f>
        <v>0</v>
      </c>
      <c r="M416" s="156"/>
      <c r="N416" s="257"/>
      <c r="O416" s="186">
        <f>L416+M416+N416</f>
        <v>0</v>
      </c>
      <c r="P416" s="239"/>
      <c r="Q416" s="256">
        <f>O416+P416</f>
        <v>0</v>
      </c>
    </row>
    <row r="417" spans="1:17" ht="12.75">
      <c r="A417" s="14" t="s">
        <v>194</v>
      </c>
      <c r="B417" s="64"/>
      <c r="C417" s="105">
        <f>C418+C432</f>
        <v>14047.2</v>
      </c>
      <c r="D417" s="74">
        <f aca="true" t="shared" si="121" ref="D417:Q417">D418+D432</f>
        <v>6111.490000000001</v>
      </c>
      <c r="E417" s="74">
        <f t="shared" si="121"/>
        <v>0</v>
      </c>
      <c r="F417" s="204">
        <f t="shared" si="121"/>
        <v>20158.690000000002</v>
      </c>
      <c r="G417" s="145">
        <f t="shared" si="121"/>
        <v>7586.790000000001</v>
      </c>
      <c r="H417" s="172">
        <f t="shared" si="121"/>
        <v>0</v>
      </c>
      <c r="I417" s="185">
        <f t="shared" si="121"/>
        <v>27745.480000000003</v>
      </c>
      <c r="J417" s="238">
        <f t="shared" si="121"/>
        <v>-193.0999999999999</v>
      </c>
      <c r="K417" s="255">
        <f t="shared" si="121"/>
        <v>3000</v>
      </c>
      <c r="L417" s="185">
        <f t="shared" si="121"/>
        <v>30552.38</v>
      </c>
      <c r="M417" s="254">
        <f t="shared" si="121"/>
        <v>1519.88</v>
      </c>
      <c r="N417" s="255">
        <f t="shared" si="121"/>
        <v>0</v>
      </c>
      <c r="O417" s="185">
        <f t="shared" si="121"/>
        <v>32072.260000000002</v>
      </c>
      <c r="P417" s="238">
        <f t="shared" si="121"/>
        <v>0</v>
      </c>
      <c r="Q417" s="221">
        <f t="shared" si="121"/>
        <v>32072.260000000002</v>
      </c>
    </row>
    <row r="418" spans="1:17" ht="12.75">
      <c r="A418" s="19" t="s">
        <v>55</v>
      </c>
      <c r="B418" s="64"/>
      <c r="C418" s="117">
        <f>SUM(C420:C431)</f>
        <v>12047.2</v>
      </c>
      <c r="D418" s="78">
        <f aca="true" t="shared" si="122" ref="D418:Q418">SUM(D420:D431)</f>
        <v>6111.490000000001</v>
      </c>
      <c r="E418" s="78">
        <f t="shared" si="122"/>
        <v>0</v>
      </c>
      <c r="F418" s="206">
        <f t="shared" si="122"/>
        <v>18158.690000000002</v>
      </c>
      <c r="G418" s="150">
        <f t="shared" si="122"/>
        <v>6333.2300000000005</v>
      </c>
      <c r="H418" s="176">
        <f t="shared" si="122"/>
        <v>0</v>
      </c>
      <c r="I418" s="189">
        <f t="shared" si="122"/>
        <v>24491.920000000002</v>
      </c>
      <c r="J418" s="243">
        <f t="shared" si="122"/>
        <v>1060.46</v>
      </c>
      <c r="K418" s="280">
        <f t="shared" si="122"/>
        <v>0</v>
      </c>
      <c r="L418" s="189">
        <f t="shared" si="122"/>
        <v>25552.38</v>
      </c>
      <c r="M418" s="298">
        <f t="shared" si="122"/>
        <v>1519.88</v>
      </c>
      <c r="N418" s="280">
        <f t="shared" si="122"/>
        <v>0</v>
      </c>
      <c r="O418" s="189">
        <f t="shared" si="122"/>
        <v>27072.260000000002</v>
      </c>
      <c r="P418" s="243">
        <f t="shared" si="122"/>
        <v>0</v>
      </c>
      <c r="Q418" s="224">
        <f t="shared" si="122"/>
        <v>27072.260000000002</v>
      </c>
    </row>
    <row r="419" spans="1:17" ht="12.75">
      <c r="A419" s="15" t="s">
        <v>27</v>
      </c>
      <c r="B419" s="60"/>
      <c r="C419" s="100"/>
      <c r="D419" s="75"/>
      <c r="E419" s="75"/>
      <c r="F419" s="204"/>
      <c r="G419" s="146"/>
      <c r="H419" s="173"/>
      <c r="I419" s="185"/>
      <c r="J419" s="229"/>
      <c r="K419" s="257"/>
      <c r="L419" s="185"/>
      <c r="M419" s="156"/>
      <c r="N419" s="257"/>
      <c r="O419" s="185"/>
      <c r="P419" s="239"/>
      <c r="Q419" s="256"/>
    </row>
    <row r="420" spans="1:17" ht="12.75">
      <c r="A420" s="13" t="s">
        <v>57</v>
      </c>
      <c r="B420" s="60"/>
      <c r="C420" s="100">
        <v>12047.2</v>
      </c>
      <c r="D420" s="75">
        <f>1613+70.1+4000</f>
        <v>5683.1</v>
      </c>
      <c r="E420" s="75"/>
      <c r="F420" s="144">
        <f aca="true" t="shared" si="123" ref="F420:F431">C420+D420+E420</f>
        <v>17730.300000000003</v>
      </c>
      <c r="G420" s="146">
        <f>750-450+492.8</f>
        <v>792.8</v>
      </c>
      <c r="H420" s="173"/>
      <c r="I420" s="186">
        <f>F420+G420+H420</f>
        <v>18523.100000000002</v>
      </c>
      <c r="J420" s="229">
        <f>-79.35+1253.56+100+106-500</f>
        <v>880.21</v>
      </c>
      <c r="K420" s="257"/>
      <c r="L420" s="186">
        <f>I420+J420+K420</f>
        <v>19403.31</v>
      </c>
      <c r="M420" s="156">
        <f>650-150</f>
        <v>500</v>
      </c>
      <c r="N420" s="257"/>
      <c r="O420" s="186">
        <f>L420+M420+N420</f>
        <v>19903.31</v>
      </c>
      <c r="P420" s="239"/>
      <c r="Q420" s="256">
        <f>O420+P420</f>
        <v>19903.31</v>
      </c>
    </row>
    <row r="421" spans="1:17" ht="12.75" hidden="1">
      <c r="A421" s="17" t="s">
        <v>222</v>
      </c>
      <c r="B421" s="60"/>
      <c r="C421" s="100"/>
      <c r="D421" s="75"/>
      <c r="E421" s="75"/>
      <c r="F421" s="144">
        <f t="shared" si="123"/>
        <v>0</v>
      </c>
      <c r="G421" s="146"/>
      <c r="H421" s="173"/>
      <c r="I421" s="186">
        <f aca="true" t="shared" si="124" ref="I421:I431">F421+G421+H421</f>
        <v>0</v>
      </c>
      <c r="J421" s="229"/>
      <c r="K421" s="257"/>
      <c r="L421" s="186">
        <f aca="true" t="shared" si="125" ref="L421:L430">I421+J421+K421</f>
        <v>0</v>
      </c>
      <c r="M421" s="156"/>
      <c r="N421" s="257"/>
      <c r="O421" s="186">
        <f aca="true" t="shared" si="126" ref="O421:O430">L421+M421+N421</f>
        <v>0</v>
      </c>
      <c r="P421" s="239"/>
      <c r="Q421" s="256">
        <f aca="true" t="shared" si="127" ref="Q421:Q430">O421+P421</f>
        <v>0</v>
      </c>
    </row>
    <row r="422" spans="1:17" ht="12.75" hidden="1">
      <c r="A422" s="17" t="s">
        <v>223</v>
      </c>
      <c r="B422" s="60"/>
      <c r="C422" s="100"/>
      <c r="D422" s="75"/>
      <c r="E422" s="75"/>
      <c r="F422" s="144">
        <f t="shared" si="123"/>
        <v>0</v>
      </c>
      <c r="G422" s="146"/>
      <c r="H422" s="173"/>
      <c r="I422" s="186">
        <f t="shared" si="124"/>
        <v>0</v>
      </c>
      <c r="J422" s="229"/>
      <c r="K422" s="257"/>
      <c r="L422" s="186">
        <f t="shared" si="125"/>
        <v>0</v>
      </c>
      <c r="M422" s="156"/>
      <c r="N422" s="257"/>
      <c r="O422" s="186">
        <f t="shared" si="126"/>
        <v>0</v>
      </c>
      <c r="P422" s="239"/>
      <c r="Q422" s="256">
        <f t="shared" si="127"/>
        <v>0</v>
      </c>
    </row>
    <row r="423" spans="1:17" ht="12.75" hidden="1">
      <c r="A423" s="17" t="s">
        <v>226</v>
      </c>
      <c r="B423" s="60">
        <v>1400</v>
      </c>
      <c r="C423" s="100"/>
      <c r="D423" s="81"/>
      <c r="E423" s="75"/>
      <c r="F423" s="144">
        <f t="shared" si="123"/>
        <v>0</v>
      </c>
      <c r="G423" s="146"/>
      <c r="H423" s="173"/>
      <c r="I423" s="186">
        <f t="shared" si="124"/>
        <v>0</v>
      </c>
      <c r="J423" s="229"/>
      <c r="K423" s="257"/>
      <c r="L423" s="186">
        <f t="shared" si="125"/>
        <v>0</v>
      </c>
      <c r="M423" s="156"/>
      <c r="N423" s="257"/>
      <c r="O423" s="186">
        <f t="shared" si="126"/>
        <v>0</v>
      </c>
      <c r="P423" s="239"/>
      <c r="Q423" s="256">
        <f t="shared" si="127"/>
        <v>0</v>
      </c>
    </row>
    <row r="424" spans="1:17" ht="12.75">
      <c r="A424" s="13" t="s">
        <v>86</v>
      </c>
      <c r="B424" s="60"/>
      <c r="C424" s="100"/>
      <c r="D424" s="95">
        <f>428.39</f>
        <v>428.39</v>
      </c>
      <c r="E424" s="75"/>
      <c r="F424" s="144">
        <f t="shared" si="123"/>
        <v>428.39</v>
      </c>
      <c r="G424" s="146">
        <f>2622.4</f>
        <v>2622.4</v>
      </c>
      <c r="H424" s="173"/>
      <c r="I424" s="186">
        <f t="shared" si="124"/>
        <v>3050.79</v>
      </c>
      <c r="J424" s="229"/>
      <c r="K424" s="257"/>
      <c r="L424" s="186">
        <f t="shared" si="125"/>
        <v>3050.79</v>
      </c>
      <c r="M424" s="156"/>
      <c r="N424" s="257"/>
      <c r="O424" s="186">
        <f t="shared" si="126"/>
        <v>3050.79</v>
      </c>
      <c r="P424" s="239"/>
      <c r="Q424" s="256">
        <f t="shared" si="127"/>
        <v>3050.79</v>
      </c>
    </row>
    <row r="425" spans="1:17" ht="12.75" hidden="1">
      <c r="A425" s="13" t="s">
        <v>71</v>
      </c>
      <c r="B425" s="60"/>
      <c r="C425" s="100"/>
      <c r="D425" s="75"/>
      <c r="E425" s="75"/>
      <c r="F425" s="144">
        <f t="shared" si="123"/>
        <v>0</v>
      </c>
      <c r="G425" s="146"/>
      <c r="H425" s="173"/>
      <c r="I425" s="186">
        <f t="shared" si="124"/>
        <v>0</v>
      </c>
      <c r="J425" s="241"/>
      <c r="K425" s="257"/>
      <c r="L425" s="186">
        <f t="shared" si="125"/>
        <v>0</v>
      </c>
      <c r="M425" s="156"/>
      <c r="N425" s="257"/>
      <c r="O425" s="186">
        <f t="shared" si="126"/>
        <v>0</v>
      </c>
      <c r="P425" s="239"/>
      <c r="Q425" s="256">
        <f t="shared" si="127"/>
        <v>0</v>
      </c>
    </row>
    <row r="426" spans="1:17" ht="12.75" hidden="1">
      <c r="A426" s="13" t="s">
        <v>166</v>
      </c>
      <c r="B426" s="60"/>
      <c r="C426" s="100"/>
      <c r="D426" s="75"/>
      <c r="E426" s="75"/>
      <c r="F426" s="144">
        <f t="shared" si="123"/>
        <v>0</v>
      </c>
      <c r="G426" s="146"/>
      <c r="H426" s="173"/>
      <c r="I426" s="186">
        <f t="shared" si="124"/>
        <v>0</v>
      </c>
      <c r="J426" s="241"/>
      <c r="K426" s="257"/>
      <c r="L426" s="186">
        <f t="shared" si="125"/>
        <v>0</v>
      </c>
      <c r="M426" s="156"/>
      <c r="N426" s="257"/>
      <c r="O426" s="186">
        <f t="shared" si="126"/>
        <v>0</v>
      </c>
      <c r="P426" s="239"/>
      <c r="Q426" s="256">
        <f t="shared" si="127"/>
        <v>0</v>
      </c>
    </row>
    <row r="427" spans="1:17" ht="12.75">
      <c r="A427" s="13" t="s">
        <v>280</v>
      </c>
      <c r="B427" s="60">
        <v>98035</v>
      </c>
      <c r="C427" s="100"/>
      <c r="D427" s="75"/>
      <c r="E427" s="75"/>
      <c r="F427" s="144">
        <f t="shared" si="123"/>
        <v>0</v>
      </c>
      <c r="G427" s="146"/>
      <c r="H427" s="173"/>
      <c r="I427" s="186">
        <f t="shared" si="124"/>
        <v>0</v>
      </c>
      <c r="J427" s="241">
        <f>150</f>
        <v>150</v>
      </c>
      <c r="K427" s="257"/>
      <c r="L427" s="186">
        <f t="shared" si="125"/>
        <v>150</v>
      </c>
      <c r="M427" s="156"/>
      <c r="N427" s="257"/>
      <c r="O427" s="186">
        <f t="shared" si="126"/>
        <v>150</v>
      </c>
      <c r="P427" s="239"/>
      <c r="Q427" s="256">
        <f t="shared" si="127"/>
        <v>150</v>
      </c>
    </row>
    <row r="428" spans="1:17" ht="12.75">
      <c r="A428" s="13" t="s">
        <v>347</v>
      </c>
      <c r="B428" s="60">
        <v>14034</v>
      </c>
      <c r="C428" s="100"/>
      <c r="D428" s="75"/>
      <c r="E428" s="75"/>
      <c r="F428" s="144">
        <f t="shared" si="123"/>
        <v>0</v>
      </c>
      <c r="G428" s="146">
        <f>500+1300</f>
        <v>1800</v>
      </c>
      <c r="H428" s="173"/>
      <c r="I428" s="186">
        <f t="shared" si="124"/>
        <v>1800</v>
      </c>
      <c r="J428" s="241"/>
      <c r="K428" s="257"/>
      <c r="L428" s="186">
        <f t="shared" si="125"/>
        <v>1800</v>
      </c>
      <c r="M428" s="156"/>
      <c r="N428" s="257"/>
      <c r="O428" s="186">
        <f t="shared" si="126"/>
        <v>1800</v>
      </c>
      <c r="P428" s="239"/>
      <c r="Q428" s="256">
        <f t="shared" si="127"/>
        <v>1800</v>
      </c>
    </row>
    <row r="429" spans="1:17" ht="12.75">
      <c r="A429" s="13" t="s">
        <v>399</v>
      </c>
      <c r="B429" s="60">
        <v>17055</v>
      </c>
      <c r="C429" s="100"/>
      <c r="D429" s="75"/>
      <c r="E429" s="75"/>
      <c r="F429" s="144">
        <f t="shared" si="123"/>
        <v>0</v>
      </c>
      <c r="G429" s="146">
        <v>76.77</v>
      </c>
      <c r="H429" s="173"/>
      <c r="I429" s="186">
        <f t="shared" si="124"/>
        <v>76.77</v>
      </c>
      <c r="J429" s="241">
        <f>30.25</f>
        <v>30.25</v>
      </c>
      <c r="K429" s="257"/>
      <c r="L429" s="186">
        <f t="shared" si="125"/>
        <v>107.02</v>
      </c>
      <c r="M429" s="156">
        <v>25</v>
      </c>
      <c r="N429" s="257"/>
      <c r="O429" s="186">
        <f t="shared" si="126"/>
        <v>132.01999999999998</v>
      </c>
      <c r="P429" s="239"/>
      <c r="Q429" s="256">
        <f t="shared" si="127"/>
        <v>132.01999999999998</v>
      </c>
    </row>
    <row r="430" spans="1:17" ht="12.75">
      <c r="A430" s="13" t="s">
        <v>254</v>
      </c>
      <c r="B430" s="111" t="s">
        <v>255</v>
      </c>
      <c r="C430" s="100"/>
      <c r="D430" s="75"/>
      <c r="E430" s="75"/>
      <c r="F430" s="144">
        <f t="shared" si="123"/>
        <v>0</v>
      </c>
      <c r="G430" s="146">
        <f>1041.26</f>
        <v>1041.26</v>
      </c>
      <c r="H430" s="173"/>
      <c r="I430" s="186">
        <f t="shared" si="124"/>
        <v>1041.26</v>
      </c>
      <c r="J430" s="241"/>
      <c r="K430" s="257"/>
      <c r="L430" s="186">
        <f t="shared" si="125"/>
        <v>1041.26</v>
      </c>
      <c r="M430" s="156">
        <v>994.88</v>
      </c>
      <c r="N430" s="257"/>
      <c r="O430" s="186">
        <f t="shared" si="126"/>
        <v>2036.1399999999999</v>
      </c>
      <c r="P430" s="239"/>
      <c r="Q430" s="256">
        <f t="shared" si="127"/>
        <v>2036.1399999999999</v>
      </c>
    </row>
    <row r="431" spans="1:17" ht="12.75" hidden="1">
      <c r="A431" s="13" t="s">
        <v>253</v>
      </c>
      <c r="B431" s="60">
        <v>33064</v>
      </c>
      <c r="C431" s="100"/>
      <c r="D431" s="75"/>
      <c r="E431" s="75"/>
      <c r="F431" s="144">
        <f t="shared" si="123"/>
        <v>0</v>
      </c>
      <c r="G431" s="146"/>
      <c r="H431" s="173"/>
      <c r="I431" s="186">
        <f t="shared" si="124"/>
        <v>0</v>
      </c>
      <c r="J431" s="241"/>
      <c r="K431" s="257"/>
      <c r="L431" s="186"/>
      <c r="M431" s="156"/>
      <c r="N431" s="257"/>
      <c r="O431" s="186"/>
      <c r="P431" s="239"/>
      <c r="Q431" s="256"/>
    </row>
    <row r="432" spans="1:17" ht="12.75">
      <c r="A432" s="19" t="s">
        <v>60</v>
      </c>
      <c r="B432" s="64"/>
      <c r="C432" s="117">
        <f>SUM(C434:C440)</f>
        <v>2000</v>
      </c>
      <c r="D432" s="78">
        <f aca="true" t="shared" si="128" ref="D432:Q432">SUM(D434:D440)</f>
        <v>0</v>
      </c>
      <c r="E432" s="78">
        <f t="shared" si="128"/>
        <v>0</v>
      </c>
      <c r="F432" s="206">
        <f t="shared" si="128"/>
        <v>2000</v>
      </c>
      <c r="G432" s="150">
        <f t="shared" si="128"/>
        <v>1253.56</v>
      </c>
      <c r="H432" s="176">
        <f t="shared" si="128"/>
        <v>0</v>
      </c>
      <c r="I432" s="189">
        <f t="shared" si="128"/>
        <v>3253.56</v>
      </c>
      <c r="J432" s="243">
        <f t="shared" si="128"/>
        <v>-1253.56</v>
      </c>
      <c r="K432" s="280">
        <f t="shared" si="128"/>
        <v>3000</v>
      </c>
      <c r="L432" s="189">
        <f t="shared" si="128"/>
        <v>5000</v>
      </c>
      <c r="M432" s="298">
        <f t="shared" si="128"/>
        <v>0</v>
      </c>
      <c r="N432" s="280">
        <f t="shared" si="128"/>
        <v>0</v>
      </c>
      <c r="O432" s="189">
        <f t="shared" si="128"/>
        <v>5000</v>
      </c>
      <c r="P432" s="243">
        <f t="shared" si="128"/>
        <v>0</v>
      </c>
      <c r="Q432" s="224">
        <f t="shared" si="128"/>
        <v>5000</v>
      </c>
    </row>
    <row r="433" spans="1:17" ht="12.75">
      <c r="A433" s="15" t="s">
        <v>27</v>
      </c>
      <c r="B433" s="60"/>
      <c r="C433" s="100"/>
      <c r="D433" s="75"/>
      <c r="E433" s="75"/>
      <c r="F433" s="144"/>
      <c r="G433" s="146"/>
      <c r="H433" s="173"/>
      <c r="I433" s="186"/>
      <c r="J433" s="229"/>
      <c r="K433" s="257"/>
      <c r="L433" s="186"/>
      <c r="M433" s="156"/>
      <c r="N433" s="257"/>
      <c r="O433" s="186"/>
      <c r="P433" s="239"/>
      <c r="Q433" s="256"/>
    </row>
    <row r="434" spans="1:17" ht="12.75">
      <c r="A434" s="17" t="s">
        <v>75</v>
      </c>
      <c r="B434" s="60"/>
      <c r="C434" s="100"/>
      <c r="D434" s="75"/>
      <c r="E434" s="75"/>
      <c r="F434" s="144">
        <f aca="true" t="shared" si="129" ref="F434:F440">C434+D434+E434</f>
        <v>0</v>
      </c>
      <c r="G434" s="146">
        <f>2000</f>
        <v>2000</v>
      </c>
      <c r="H434" s="173"/>
      <c r="I434" s="186">
        <f aca="true" t="shared" si="130" ref="I434:I440">F434+G434+H434</f>
        <v>2000</v>
      </c>
      <c r="J434" s="229"/>
      <c r="K434" s="257"/>
      <c r="L434" s="186">
        <f>I434+J434+K434</f>
        <v>2000</v>
      </c>
      <c r="M434" s="156"/>
      <c r="N434" s="257"/>
      <c r="O434" s="186">
        <f aca="true" t="shared" si="131" ref="O434:O440">L434+M434+N434</f>
        <v>2000</v>
      </c>
      <c r="P434" s="239"/>
      <c r="Q434" s="256">
        <f aca="true" t="shared" si="132" ref="Q434:Q440">O434+P434</f>
        <v>2000</v>
      </c>
    </row>
    <row r="435" spans="1:17" ht="12.75" hidden="1">
      <c r="A435" s="17" t="s">
        <v>207</v>
      </c>
      <c r="B435" s="60"/>
      <c r="C435" s="100"/>
      <c r="D435" s="75"/>
      <c r="E435" s="75"/>
      <c r="F435" s="144">
        <f t="shared" si="129"/>
        <v>0</v>
      </c>
      <c r="G435" s="146"/>
      <c r="H435" s="173"/>
      <c r="I435" s="186">
        <f t="shared" si="130"/>
        <v>0</v>
      </c>
      <c r="J435" s="229"/>
      <c r="K435" s="257"/>
      <c r="L435" s="186"/>
      <c r="M435" s="156"/>
      <c r="N435" s="257"/>
      <c r="O435" s="186">
        <f t="shared" si="131"/>
        <v>0</v>
      </c>
      <c r="P435" s="239"/>
      <c r="Q435" s="256">
        <f t="shared" si="132"/>
        <v>0</v>
      </c>
    </row>
    <row r="436" spans="1:17" ht="12.75" hidden="1">
      <c r="A436" s="17" t="s">
        <v>208</v>
      </c>
      <c r="B436" s="60"/>
      <c r="C436" s="100"/>
      <c r="D436" s="75"/>
      <c r="E436" s="75"/>
      <c r="F436" s="144">
        <f t="shared" si="129"/>
        <v>0</v>
      </c>
      <c r="G436" s="146"/>
      <c r="H436" s="173"/>
      <c r="I436" s="186">
        <f t="shared" si="130"/>
        <v>0</v>
      </c>
      <c r="J436" s="229"/>
      <c r="K436" s="257"/>
      <c r="L436" s="186"/>
      <c r="M436" s="156"/>
      <c r="N436" s="257"/>
      <c r="O436" s="186">
        <f t="shared" si="131"/>
        <v>0</v>
      </c>
      <c r="P436" s="239"/>
      <c r="Q436" s="256">
        <f t="shared" si="132"/>
        <v>0</v>
      </c>
    </row>
    <row r="437" spans="1:17" ht="12.75">
      <c r="A437" s="17" t="s">
        <v>195</v>
      </c>
      <c r="B437" s="60"/>
      <c r="C437" s="100"/>
      <c r="D437" s="75"/>
      <c r="E437" s="75"/>
      <c r="F437" s="144">
        <f t="shared" si="129"/>
        <v>0</v>
      </c>
      <c r="G437" s="146"/>
      <c r="H437" s="173"/>
      <c r="I437" s="186">
        <f t="shared" si="130"/>
        <v>0</v>
      </c>
      <c r="J437" s="229"/>
      <c r="K437" s="257">
        <v>3000</v>
      </c>
      <c r="L437" s="186">
        <f>I437+J437+K437</f>
        <v>3000</v>
      </c>
      <c r="M437" s="156"/>
      <c r="N437" s="257"/>
      <c r="O437" s="186">
        <f t="shared" si="131"/>
        <v>3000</v>
      </c>
      <c r="P437" s="239"/>
      <c r="Q437" s="256">
        <f t="shared" si="132"/>
        <v>3000</v>
      </c>
    </row>
    <row r="438" spans="1:17" ht="12.75">
      <c r="A438" s="16" t="s">
        <v>61</v>
      </c>
      <c r="B438" s="63"/>
      <c r="C438" s="118">
        <v>2000</v>
      </c>
      <c r="D438" s="79"/>
      <c r="E438" s="79"/>
      <c r="F438" s="97">
        <f t="shared" si="129"/>
        <v>2000</v>
      </c>
      <c r="G438" s="152">
        <f>-2000+1253.56</f>
        <v>-746.44</v>
      </c>
      <c r="H438" s="178"/>
      <c r="I438" s="191">
        <f t="shared" si="130"/>
        <v>1253.56</v>
      </c>
      <c r="J438" s="245">
        <f>-1253.56</f>
        <v>-1253.56</v>
      </c>
      <c r="K438" s="261"/>
      <c r="L438" s="191">
        <f>I438+J438+K438</f>
        <v>0</v>
      </c>
      <c r="M438" s="152"/>
      <c r="N438" s="261"/>
      <c r="O438" s="191">
        <f t="shared" si="131"/>
        <v>0</v>
      </c>
      <c r="P438" s="262"/>
      <c r="Q438" s="263">
        <f t="shared" si="132"/>
        <v>0</v>
      </c>
    </row>
    <row r="439" spans="1:17" ht="12.75" hidden="1">
      <c r="A439" s="16" t="s">
        <v>86</v>
      </c>
      <c r="B439" s="63"/>
      <c r="C439" s="118"/>
      <c r="D439" s="79"/>
      <c r="E439" s="79"/>
      <c r="F439" s="97">
        <f t="shared" si="129"/>
        <v>0</v>
      </c>
      <c r="G439" s="146"/>
      <c r="H439" s="173"/>
      <c r="I439" s="186">
        <f t="shared" si="130"/>
        <v>0</v>
      </c>
      <c r="J439" s="229"/>
      <c r="K439" s="257"/>
      <c r="L439" s="186">
        <f>I439+J439+K439</f>
        <v>0</v>
      </c>
      <c r="M439" s="156"/>
      <c r="N439" s="257"/>
      <c r="O439" s="186">
        <f t="shared" si="131"/>
        <v>0</v>
      </c>
      <c r="P439" s="239"/>
      <c r="Q439" s="256">
        <f t="shared" si="132"/>
        <v>0</v>
      </c>
    </row>
    <row r="440" spans="1:17" ht="12.75" hidden="1">
      <c r="A440" s="23" t="s">
        <v>196</v>
      </c>
      <c r="B440" s="63"/>
      <c r="C440" s="118"/>
      <c r="D440" s="79"/>
      <c r="E440" s="79"/>
      <c r="F440" s="97">
        <f t="shared" si="129"/>
        <v>0</v>
      </c>
      <c r="G440" s="152"/>
      <c r="H440" s="178"/>
      <c r="I440" s="191">
        <f t="shared" si="130"/>
        <v>0</v>
      </c>
      <c r="J440" s="245"/>
      <c r="K440" s="261"/>
      <c r="L440" s="191">
        <f>I440+J440+K440</f>
        <v>0</v>
      </c>
      <c r="M440" s="300"/>
      <c r="N440" s="261"/>
      <c r="O440" s="191">
        <f t="shared" si="131"/>
        <v>0</v>
      </c>
      <c r="P440" s="262"/>
      <c r="Q440" s="263">
        <f t="shared" si="132"/>
        <v>0</v>
      </c>
    </row>
    <row r="441" spans="1:17" ht="12.75">
      <c r="A441" s="10" t="s">
        <v>106</v>
      </c>
      <c r="B441" s="64"/>
      <c r="C441" s="105">
        <f>C442+C445</f>
        <v>3304.9</v>
      </c>
      <c r="D441" s="74">
        <f aca="true" t="shared" si="133" ref="D441:Q441">D442+D445</f>
        <v>0</v>
      </c>
      <c r="E441" s="74">
        <f t="shared" si="133"/>
        <v>0</v>
      </c>
      <c r="F441" s="204">
        <f t="shared" si="133"/>
        <v>3304.9</v>
      </c>
      <c r="G441" s="145">
        <f t="shared" si="133"/>
        <v>0</v>
      </c>
      <c r="H441" s="172">
        <f t="shared" si="133"/>
        <v>0</v>
      </c>
      <c r="I441" s="185">
        <f t="shared" si="133"/>
        <v>3304.9</v>
      </c>
      <c r="J441" s="238">
        <f t="shared" si="133"/>
        <v>0</v>
      </c>
      <c r="K441" s="255">
        <f t="shared" si="133"/>
        <v>0</v>
      </c>
      <c r="L441" s="185">
        <f t="shared" si="133"/>
        <v>3304.9</v>
      </c>
      <c r="M441" s="254">
        <f t="shared" si="133"/>
        <v>0</v>
      </c>
      <c r="N441" s="255">
        <f t="shared" si="133"/>
        <v>0</v>
      </c>
      <c r="O441" s="185">
        <f t="shared" si="133"/>
        <v>3304.9</v>
      </c>
      <c r="P441" s="238">
        <f t="shared" si="133"/>
        <v>0</v>
      </c>
      <c r="Q441" s="221">
        <f t="shared" si="133"/>
        <v>3304.9</v>
      </c>
    </row>
    <row r="442" spans="1:17" ht="12.75">
      <c r="A442" s="19" t="s">
        <v>55</v>
      </c>
      <c r="B442" s="64"/>
      <c r="C442" s="117">
        <f>SUM(C444:C444)</f>
        <v>3304.9</v>
      </c>
      <c r="D442" s="78">
        <f aca="true" t="shared" si="134" ref="D442:Q442">SUM(D444:D444)</f>
        <v>0</v>
      </c>
      <c r="E442" s="78">
        <f t="shared" si="134"/>
        <v>0</v>
      </c>
      <c r="F442" s="206">
        <f t="shared" si="134"/>
        <v>3304.9</v>
      </c>
      <c r="G442" s="150">
        <f t="shared" si="134"/>
        <v>0</v>
      </c>
      <c r="H442" s="176">
        <f t="shared" si="134"/>
        <v>0</v>
      </c>
      <c r="I442" s="189">
        <f t="shared" si="134"/>
        <v>3304.9</v>
      </c>
      <c r="J442" s="243">
        <f t="shared" si="134"/>
        <v>0</v>
      </c>
      <c r="K442" s="280">
        <f t="shared" si="134"/>
        <v>0</v>
      </c>
      <c r="L442" s="189">
        <f t="shared" si="134"/>
        <v>3304.9</v>
      </c>
      <c r="M442" s="298">
        <f t="shared" si="134"/>
        <v>0</v>
      </c>
      <c r="N442" s="280">
        <f t="shared" si="134"/>
        <v>0</v>
      </c>
      <c r="O442" s="189">
        <f t="shared" si="134"/>
        <v>3304.9</v>
      </c>
      <c r="P442" s="243">
        <f t="shared" si="134"/>
        <v>0</v>
      </c>
      <c r="Q442" s="224">
        <f t="shared" si="134"/>
        <v>3304.9</v>
      </c>
    </row>
    <row r="443" spans="1:17" ht="12.75">
      <c r="A443" s="15" t="s">
        <v>27</v>
      </c>
      <c r="B443" s="60"/>
      <c r="C443" s="100"/>
      <c r="D443" s="75"/>
      <c r="E443" s="75"/>
      <c r="F443" s="204"/>
      <c r="G443" s="146"/>
      <c r="H443" s="173"/>
      <c r="I443" s="185"/>
      <c r="J443" s="229"/>
      <c r="K443" s="257"/>
      <c r="L443" s="185"/>
      <c r="M443" s="156"/>
      <c r="N443" s="257"/>
      <c r="O443" s="185"/>
      <c r="P443" s="239"/>
      <c r="Q443" s="256"/>
    </row>
    <row r="444" spans="1:17" ht="12.75">
      <c r="A444" s="16" t="s">
        <v>57</v>
      </c>
      <c r="B444" s="63"/>
      <c r="C444" s="120">
        <v>3304.9</v>
      </c>
      <c r="D444" s="79"/>
      <c r="E444" s="79"/>
      <c r="F444" s="97">
        <f>C444+D444+E444</f>
        <v>3304.9</v>
      </c>
      <c r="G444" s="152"/>
      <c r="H444" s="178"/>
      <c r="I444" s="191">
        <f>F444+G444+H444</f>
        <v>3304.9</v>
      </c>
      <c r="J444" s="245"/>
      <c r="K444" s="261"/>
      <c r="L444" s="191">
        <f>I444+J444+K444</f>
        <v>3304.9</v>
      </c>
      <c r="M444" s="152"/>
      <c r="N444" s="261"/>
      <c r="O444" s="191">
        <f>L444+M444+N444</f>
        <v>3304.9</v>
      </c>
      <c r="P444" s="262"/>
      <c r="Q444" s="263">
        <f>O444+P444</f>
        <v>3304.9</v>
      </c>
    </row>
    <row r="445" spans="1:17" ht="12.75" hidden="1">
      <c r="A445" s="19" t="s">
        <v>60</v>
      </c>
      <c r="B445" s="64"/>
      <c r="C445" s="117">
        <f aca="true" t="shared" si="135" ref="C445:Q445">SUM(C447:C447)</f>
        <v>0</v>
      </c>
      <c r="D445" s="78">
        <f t="shared" si="135"/>
        <v>0</v>
      </c>
      <c r="E445" s="78">
        <f t="shared" si="135"/>
        <v>0</v>
      </c>
      <c r="F445" s="206">
        <f t="shared" si="135"/>
        <v>0</v>
      </c>
      <c r="G445" s="150">
        <f t="shared" si="135"/>
        <v>0</v>
      </c>
      <c r="H445" s="176">
        <f t="shared" si="135"/>
        <v>0</v>
      </c>
      <c r="I445" s="189">
        <f t="shared" si="135"/>
        <v>0</v>
      </c>
      <c r="J445" s="243">
        <f t="shared" si="135"/>
        <v>0</v>
      </c>
      <c r="K445" s="280">
        <f t="shared" si="135"/>
        <v>0</v>
      </c>
      <c r="L445" s="189">
        <f t="shared" si="135"/>
        <v>0</v>
      </c>
      <c r="M445" s="298">
        <f t="shared" si="135"/>
        <v>0</v>
      </c>
      <c r="N445" s="280">
        <f t="shared" si="135"/>
        <v>0</v>
      </c>
      <c r="O445" s="189">
        <f t="shared" si="135"/>
        <v>0</v>
      </c>
      <c r="P445" s="243">
        <f t="shared" si="135"/>
        <v>0</v>
      </c>
      <c r="Q445" s="224">
        <f t="shared" si="135"/>
        <v>0</v>
      </c>
    </row>
    <row r="446" spans="1:17" ht="12.75" hidden="1">
      <c r="A446" s="15" t="s">
        <v>27</v>
      </c>
      <c r="B446" s="60"/>
      <c r="C446" s="100"/>
      <c r="D446" s="75"/>
      <c r="E446" s="75"/>
      <c r="F446" s="144"/>
      <c r="G446" s="146"/>
      <c r="H446" s="173"/>
      <c r="I446" s="186"/>
      <c r="J446" s="229"/>
      <c r="K446" s="257"/>
      <c r="L446" s="186"/>
      <c r="M446" s="156"/>
      <c r="N446" s="257"/>
      <c r="O446" s="186"/>
      <c r="P446" s="239"/>
      <c r="Q446" s="256"/>
    </row>
    <row r="447" spans="1:17" ht="12.75" hidden="1">
      <c r="A447" s="16" t="s">
        <v>61</v>
      </c>
      <c r="B447" s="63"/>
      <c r="C447" s="118"/>
      <c r="D447" s="79"/>
      <c r="E447" s="79"/>
      <c r="F447" s="97">
        <f>C447+D447+E447</f>
        <v>0</v>
      </c>
      <c r="G447" s="152"/>
      <c r="H447" s="178"/>
      <c r="I447" s="191">
        <f>F447+G447+H447</f>
        <v>0</v>
      </c>
      <c r="J447" s="245"/>
      <c r="K447" s="261"/>
      <c r="L447" s="191">
        <f>I447+J447+K447</f>
        <v>0</v>
      </c>
      <c r="M447" s="300"/>
      <c r="N447" s="261"/>
      <c r="O447" s="191">
        <f>L447+M447+N447</f>
        <v>0</v>
      </c>
      <c r="P447" s="262"/>
      <c r="Q447" s="263">
        <f>O447+P447</f>
        <v>0</v>
      </c>
    </row>
    <row r="448" spans="1:17" ht="12.75">
      <c r="A448" s="10" t="s">
        <v>107</v>
      </c>
      <c r="B448" s="64"/>
      <c r="C448" s="105">
        <f aca="true" t="shared" si="136" ref="C448:Q448">C449</f>
        <v>54833.6</v>
      </c>
      <c r="D448" s="74">
        <f t="shared" si="136"/>
        <v>17655.68</v>
      </c>
      <c r="E448" s="74">
        <f t="shared" si="136"/>
        <v>0</v>
      </c>
      <c r="F448" s="204">
        <f t="shared" si="136"/>
        <v>72489.28</v>
      </c>
      <c r="G448" s="145">
        <f t="shared" si="136"/>
        <v>509.52</v>
      </c>
      <c r="H448" s="172">
        <f t="shared" si="136"/>
        <v>2787.76</v>
      </c>
      <c r="I448" s="185">
        <f t="shared" si="136"/>
        <v>75786.56</v>
      </c>
      <c r="J448" s="238">
        <f t="shared" si="136"/>
        <v>-1140.5</v>
      </c>
      <c r="K448" s="255">
        <f t="shared" si="136"/>
        <v>-350</v>
      </c>
      <c r="L448" s="185">
        <f t="shared" si="136"/>
        <v>74296.06</v>
      </c>
      <c r="M448" s="254">
        <f t="shared" si="136"/>
        <v>-9000</v>
      </c>
      <c r="N448" s="255">
        <f t="shared" si="136"/>
        <v>0</v>
      </c>
      <c r="O448" s="185">
        <f t="shared" si="136"/>
        <v>65296.06</v>
      </c>
      <c r="P448" s="238">
        <f t="shared" si="136"/>
        <v>0</v>
      </c>
      <c r="Q448" s="221">
        <f t="shared" si="136"/>
        <v>65296.06</v>
      </c>
    </row>
    <row r="449" spans="1:17" ht="12.75">
      <c r="A449" s="19" t="s">
        <v>55</v>
      </c>
      <c r="B449" s="64"/>
      <c r="C449" s="117">
        <f>SUM(C451:C454)</f>
        <v>54833.6</v>
      </c>
      <c r="D449" s="78">
        <f aca="true" t="shared" si="137" ref="D449:Q449">SUM(D451:D454)</f>
        <v>17655.68</v>
      </c>
      <c r="E449" s="78">
        <f t="shared" si="137"/>
        <v>0</v>
      </c>
      <c r="F449" s="206">
        <f t="shared" si="137"/>
        <v>72489.28</v>
      </c>
      <c r="G449" s="150">
        <f t="shared" si="137"/>
        <v>509.52</v>
      </c>
      <c r="H449" s="176">
        <f t="shared" si="137"/>
        <v>2787.76</v>
      </c>
      <c r="I449" s="189">
        <f t="shared" si="137"/>
        <v>75786.56</v>
      </c>
      <c r="J449" s="243">
        <f t="shared" si="137"/>
        <v>-1140.5</v>
      </c>
      <c r="K449" s="280">
        <f t="shared" si="137"/>
        <v>-350</v>
      </c>
      <c r="L449" s="189">
        <f t="shared" si="137"/>
        <v>74296.06</v>
      </c>
      <c r="M449" s="298">
        <f t="shared" si="137"/>
        <v>-9000</v>
      </c>
      <c r="N449" s="280">
        <f t="shared" si="137"/>
        <v>0</v>
      </c>
      <c r="O449" s="189">
        <f t="shared" si="137"/>
        <v>65296.06</v>
      </c>
      <c r="P449" s="243">
        <f t="shared" si="137"/>
        <v>0</v>
      </c>
      <c r="Q449" s="224">
        <f t="shared" si="137"/>
        <v>65296.06</v>
      </c>
    </row>
    <row r="450" spans="1:17" ht="12.75">
      <c r="A450" s="15" t="s">
        <v>27</v>
      </c>
      <c r="B450" s="60"/>
      <c r="C450" s="105"/>
      <c r="D450" s="74"/>
      <c r="E450" s="74"/>
      <c r="F450" s="204"/>
      <c r="G450" s="145"/>
      <c r="H450" s="172"/>
      <c r="I450" s="185"/>
      <c r="J450" s="238"/>
      <c r="K450" s="255"/>
      <c r="L450" s="185"/>
      <c r="M450" s="254"/>
      <c r="N450" s="255"/>
      <c r="O450" s="185"/>
      <c r="P450" s="239"/>
      <c r="Q450" s="256"/>
    </row>
    <row r="451" spans="1:17" ht="12.75">
      <c r="A451" s="61" t="s">
        <v>209</v>
      </c>
      <c r="B451" s="60"/>
      <c r="C451" s="100">
        <v>15000</v>
      </c>
      <c r="D451" s="75">
        <f>-1000-2418.33</f>
        <v>-3418.33</v>
      </c>
      <c r="E451" s="75"/>
      <c r="F451" s="144">
        <f>C451+D451+E451</f>
        <v>11581.67</v>
      </c>
      <c r="G451" s="146">
        <f>-345.48</f>
        <v>-345.48</v>
      </c>
      <c r="H451" s="173">
        <f>2787.76</f>
        <v>2787.76</v>
      </c>
      <c r="I451" s="186">
        <f>F451+G451+H451</f>
        <v>14023.95</v>
      </c>
      <c r="J451" s="241">
        <f>-165.5-675-300</f>
        <v>-1140.5</v>
      </c>
      <c r="K451" s="257">
        <f>-350</f>
        <v>-350</v>
      </c>
      <c r="L451" s="186">
        <f>I451+J451+K451</f>
        <v>12533.45</v>
      </c>
      <c r="M451" s="156">
        <f>-500-4000-4500</f>
        <v>-9000</v>
      </c>
      <c r="N451" s="257"/>
      <c r="O451" s="186">
        <f>L451+M451+N451</f>
        <v>3533.4500000000007</v>
      </c>
      <c r="P451" s="239"/>
      <c r="Q451" s="256">
        <f>O451+P451</f>
        <v>3533.4500000000007</v>
      </c>
    </row>
    <row r="452" spans="1:17" ht="12.75">
      <c r="A452" s="61" t="s">
        <v>108</v>
      </c>
      <c r="B452" s="60"/>
      <c r="C452" s="100"/>
      <c r="D452" s="81">
        <f>18285</f>
        <v>18285</v>
      </c>
      <c r="E452" s="75"/>
      <c r="F452" s="144">
        <f>C452+D452+E452</f>
        <v>18285</v>
      </c>
      <c r="G452" s="146">
        <f>855</f>
        <v>855</v>
      </c>
      <c r="H452" s="173"/>
      <c r="I452" s="186">
        <f>F452+G452+H452</f>
        <v>19140</v>
      </c>
      <c r="J452" s="229"/>
      <c r="K452" s="257"/>
      <c r="L452" s="186">
        <f>I452+J452+K452</f>
        <v>19140</v>
      </c>
      <c r="M452" s="156"/>
      <c r="N452" s="257"/>
      <c r="O452" s="186">
        <f>L452+M452+N452</f>
        <v>19140</v>
      </c>
      <c r="P452" s="239"/>
      <c r="Q452" s="256">
        <f>O452+P452</f>
        <v>19140</v>
      </c>
    </row>
    <row r="453" spans="1:17" ht="12.75">
      <c r="A453" s="61" t="s">
        <v>109</v>
      </c>
      <c r="B453" s="60"/>
      <c r="C453" s="100"/>
      <c r="D453" s="75">
        <f>2789.01</f>
        <v>2789.01</v>
      </c>
      <c r="E453" s="75"/>
      <c r="F453" s="144">
        <f>C453+D453+E453</f>
        <v>2789.01</v>
      </c>
      <c r="G453" s="146"/>
      <c r="H453" s="173"/>
      <c r="I453" s="186">
        <f>F453+G453+H453</f>
        <v>2789.01</v>
      </c>
      <c r="J453" s="229"/>
      <c r="K453" s="257"/>
      <c r="L453" s="186">
        <f>I453+J453+K453</f>
        <v>2789.01</v>
      </c>
      <c r="M453" s="156"/>
      <c r="N453" s="257"/>
      <c r="O453" s="186">
        <f>L453+M453+N453</f>
        <v>2789.01</v>
      </c>
      <c r="P453" s="239"/>
      <c r="Q453" s="256">
        <f>O453+P453</f>
        <v>2789.01</v>
      </c>
    </row>
    <row r="454" spans="1:17" ht="12.75">
      <c r="A454" s="16" t="s">
        <v>57</v>
      </c>
      <c r="B454" s="63"/>
      <c r="C454" s="118">
        <v>39833.6</v>
      </c>
      <c r="D454" s="79"/>
      <c r="E454" s="79"/>
      <c r="F454" s="97">
        <f>C454+D454+E454</f>
        <v>39833.6</v>
      </c>
      <c r="G454" s="152"/>
      <c r="H454" s="178"/>
      <c r="I454" s="191">
        <f>F454+G454+H454</f>
        <v>39833.6</v>
      </c>
      <c r="J454" s="245"/>
      <c r="K454" s="261"/>
      <c r="L454" s="191">
        <f>I454+J454+K454</f>
        <v>39833.6</v>
      </c>
      <c r="M454" s="300"/>
      <c r="N454" s="261"/>
      <c r="O454" s="191">
        <f>L454+M454+N454</f>
        <v>39833.6</v>
      </c>
      <c r="P454" s="262"/>
      <c r="Q454" s="263">
        <f>O454+P454</f>
        <v>39833.6</v>
      </c>
    </row>
    <row r="455" spans="1:17" ht="12.75">
      <c r="A455" s="10" t="s">
        <v>175</v>
      </c>
      <c r="B455" s="64"/>
      <c r="C455" s="105">
        <f aca="true" t="shared" si="138" ref="C455:Q455">C456+C470</f>
        <v>131473.7</v>
      </c>
      <c r="D455" s="74">
        <f t="shared" si="138"/>
        <v>68429.66</v>
      </c>
      <c r="E455" s="74">
        <f t="shared" si="138"/>
        <v>49680.649999999994</v>
      </c>
      <c r="F455" s="204">
        <f t="shared" si="138"/>
        <v>249584.01</v>
      </c>
      <c r="G455" s="145">
        <f t="shared" si="138"/>
        <v>4648.5</v>
      </c>
      <c r="H455" s="172">
        <f t="shared" si="138"/>
        <v>24784.13</v>
      </c>
      <c r="I455" s="185">
        <f t="shared" si="138"/>
        <v>279016.64</v>
      </c>
      <c r="J455" s="238">
        <f t="shared" si="138"/>
        <v>1710.71</v>
      </c>
      <c r="K455" s="255">
        <f t="shared" si="138"/>
        <v>19872.77</v>
      </c>
      <c r="L455" s="185">
        <f t="shared" si="138"/>
        <v>300600.12</v>
      </c>
      <c r="M455" s="254">
        <f t="shared" si="138"/>
        <v>383.73</v>
      </c>
      <c r="N455" s="255">
        <f t="shared" si="138"/>
        <v>32960</v>
      </c>
      <c r="O455" s="185">
        <f t="shared" si="138"/>
        <v>333943.85000000003</v>
      </c>
      <c r="P455" s="238">
        <f t="shared" si="138"/>
        <v>0</v>
      </c>
      <c r="Q455" s="221">
        <f t="shared" si="138"/>
        <v>333943.85000000003</v>
      </c>
    </row>
    <row r="456" spans="1:17" ht="12.75">
      <c r="A456" s="19" t="s">
        <v>55</v>
      </c>
      <c r="B456" s="64"/>
      <c r="C456" s="117">
        <f>SUM(C458:C469)</f>
        <v>90373.7</v>
      </c>
      <c r="D456" s="78">
        <f>SUM(D458:D469)</f>
        <v>21438.870000000003</v>
      </c>
      <c r="E456" s="78">
        <f>SUM(E457:E469)</f>
        <v>14661.3</v>
      </c>
      <c r="F456" s="206">
        <f>SUM(F458:F469)</f>
        <v>126473.87000000001</v>
      </c>
      <c r="G456" s="150">
        <f aca="true" t="shared" si="139" ref="G456:Q456">SUM(G457:G469)</f>
        <v>-4896.23</v>
      </c>
      <c r="H456" s="176">
        <f t="shared" si="139"/>
        <v>8777.94</v>
      </c>
      <c r="I456" s="189">
        <f t="shared" si="139"/>
        <v>130355.58000000002</v>
      </c>
      <c r="J456" s="243">
        <f t="shared" si="139"/>
        <v>-233.10000000000002</v>
      </c>
      <c r="K456" s="280">
        <f t="shared" si="139"/>
        <v>2740</v>
      </c>
      <c r="L456" s="189">
        <f t="shared" si="139"/>
        <v>132862.48</v>
      </c>
      <c r="M456" s="298">
        <f t="shared" si="139"/>
        <v>154.23</v>
      </c>
      <c r="N456" s="280">
        <f t="shared" si="139"/>
        <v>5864</v>
      </c>
      <c r="O456" s="189">
        <f t="shared" si="139"/>
        <v>138880.71000000002</v>
      </c>
      <c r="P456" s="243">
        <f t="shared" si="139"/>
        <v>0</v>
      </c>
      <c r="Q456" s="224">
        <f t="shared" si="139"/>
        <v>138880.71000000002</v>
      </c>
    </row>
    <row r="457" spans="1:17" ht="12.75">
      <c r="A457" s="15" t="s">
        <v>27</v>
      </c>
      <c r="B457" s="60"/>
      <c r="C457" s="100"/>
      <c r="D457" s="75"/>
      <c r="E457" s="75"/>
      <c r="F457" s="144"/>
      <c r="G457" s="146"/>
      <c r="H457" s="173"/>
      <c r="I457" s="186"/>
      <c r="J457" s="229"/>
      <c r="K457" s="257"/>
      <c r="L457" s="186"/>
      <c r="M457" s="156"/>
      <c r="N457" s="257"/>
      <c r="O457" s="186"/>
      <c r="P457" s="239"/>
      <c r="Q457" s="256"/>
    </row>
    <row r="458" spans="1:17" ht="12.75">
      <c r="A458" s="13" t="s">
        <v>276</v>
      </c>
      <c r="B458" s="60">
        <v>1202</v>
      </c>
      <c r="C458" s="100">
        <v>14900</v>
      </c>
      <c r="D458" s="75">
        <f>1009.56</f>
        <v>1009.56</v>
      </c>
      <c r="E458" s="75"/>
      <c r="F458" s="144">
        <f aca="true" t="shared" si="140" ref="F458:F469">C458+D458+E458</f>
        <v>15909.56</v>
      </c>
      <c r="G458" s="146">
        <f>-150</f>
        <v>-150</v>
      </c>
      <c r="H458" s="173"/>
      <c r="I458" s="186">
        <f>F458+G458+H458</f>
        <v>15759.56</v>
      </c>
      <c r="J458" s="229"/>
      <c r="K458" s="257"/>
      <c r="L458" s="186">
        <f>I458+J458+K458</f>
        <v>15759.56</v>
      </c>
      <c r="M458" s="156"/>
      <c r="N458" s="257"/>
      <c r="O458" s="186">
        <f>L458+M458+N458</f>
        <v>15759.56</v>
      </c>
      <c r="P458" s="239"/>
      <c r="Q458" s="256">
        <f>O458+P458</f>
        <v>15759.56</v>
      </c>
    </row>
    <row r="459" spans="1:17" ht="12.75">
      <c r="A459" s="13" t="s">
        <v>201</v>
      </c>
      <c r="B459" s="60">
        <v>1208</v>
      </c>
      <c r="C459" s="100">
        <v>3500</v>
      </c>
      <c r="D459" s="75">
        <f>1000</f>
        <v>1000</v>
      </c>
      <c r="E459" s="75"/>
      <c r="F459" s="144">
        <f t="shared" si="140"/>
        <v>4500</v>
      </c>
      <c r="G459" s="146"/>
      <c r="H459" s="173"/>
      <c r="I459" s="186">
        <f aca="true" t="shared" si="141" ref="I459:I469">F459+G459+H459</f>
        <v>4500</v>
      </c>
      <c r="J459" s="229"/>
      <c r="K459" s="257"/>
      <c r="L459" s="186">
        <f aca="true" t="shared" si="142" ref="L459:L469">I459+J459+K459</f>
        <v>4500</v>
      </c>
      <c r="M459" s="156"/>
      <c r="N459" s="257"/>
      <c r="O459" s="186">
        <f aca="true" t="shared" si="143" ref="O459:O469">L459+M459+N459</f>
        <v>4500</v>
      </c>
      <c r="P459" s="239"/>
      <c r="Q459" s="256">
        <f aca="true" t="shared" si="144" ref="Q459:Q469">O459+P459</f>
        <v>4500</v>
      </c>
    </row>
    <row r="460" spans="1:17" ht="12.75">
      <c r="A460" s="13" t="s">
        <v>202</v>
      </c>
      <c r="B460" s="60">
        <v>1207</v>
      </c>
      <c r="C460" s="100">
        <v>9000</v>
      </c>
      <c r="D460" s="75">
        <f>102.64+1000</f>
        <v>1102.64</v>
      </c>
      <c r="E460" s="75"/>
      <c r="F460" s="144">
        <f t="shared" si="140"/>
        <v>10102.64</v>
      </c>
      <c r="G460" s="146">
        <f>600</f>
        <v>600</v>
      </c>
      <c r="H460" s="173"/>
      <c r="I460" s="186">
        <f t="shared" si="141"/>
        <v>10702.64</v>
      </c>
      <c r="J460" s="229"/>
      <c r="K460" s="257"/>
      <c r="L460" s="186">
        <f t="shared" si="142"/>
        <v>10702.64</v>
      </c>
      <c r="M460" s="156"/>
      <c r="N460" s="257"/>
      <c r="O460" s="186">
        <f t="shared" si="143"/>
        <v>10702.64</v>
      </c>
      <c r="P460" s="239"/>
      <c r="Q460" s="256">
        <f t="shared" si="144"/>
        <v>10702.64</v>
      </c>
    </row>
    <row r="461" spans="1:17" ht="12.75">
      <c r="A461" s="17" t="s">
        <v>309</v>
      </c>
      <c r="B461" s="60">
        <v>1209</v>
      </c>
      <c r="C461" s="100">
        <v>2860</v>
      </c>
      <c r="D461" s="75">
        <f>10.68</f>
        <v>10.68</v>
      </c>
      <c r="E461" s="75"/>
      <c r="F461" s="144">
        <f t="shared" si="140"/>
        <v>2870.68</v>
      </c>
      <c r="G461" s="146"/>
      <c r="H461" s="173"/>
      <c r="I461" s="186">
        <f t="shared" si="141"/>
        <v>2870.68</v>
      </c>
      <c r="J461" s="229"/>
      <c r="K461" s="257"/>
      <c r="L461" s="186">
        <f t="shared" si="142"/>
        <v>2870.68</v>
      </c>
      <c r="M461" s="156">
        <v>20</v>
      </c>
      <c r="N461" s="257"/>
      <c r="O461" s="186">
        <f t="shared" si="143"/>
        <v>2890.68</v>
      </c>
      <c r="P461" s="239"/>
      <c r="Q461" s="256">
        <f t="shared" si="144"/>
        <v>2890.68</v>
      </c>
    </row>
    <row r="462" spans="1:17" ht="12.75">
      <c r="A462" s="13" t="s">
        <v>203</v>
      </c>
      <c r="B462" s="60">
        <v>1211</v>
      </c>
      <c r="C462" s="100">
        <v>3600</v>
      </c>
      <c r="D462" s="81">
        <f>222.32</f>
        <v>222.32</v>
      </c>
      <c r="E462" s="81"/>
      <c r="F462" s="144">
        <f t="shared" si="140"/>
        <v>3822.32</v>
      </c>
      <c r="G462" s="146"/>
      <c r="H462" s="173"/>
      <c r="I462" s="186">
        <f t="shared" si="141"/>
        <v>3822.32</v>
      </c>
      <c r="J462" s="229">
        <f>5.81</f>
        <v>5.81</v>
      </c>
      <c r="K462" s="257"/>
      <c r="L462" s="186">
        <f t="shared" si="142"/>
        <v>3828.13</v>
      </c>
      <c r="M462" s="156"/>
      <c r="N462" s="257"/>
      <c r="O462" s="186">
        <f t="shared" si="143"/>
        <v>3828.13</v>
      </c>
      <c r="P462" s="239"/>
      <c r="Q462" s="256">
        <f t="shared" si="144"/>
        <v>3828.13</v>
      </c>
    </row>
    <row r="463" spans="1:17" ht="12.75">
      <c r="A463" s="13" t="s">
        <v>261</v>
      </c>
      <c r="B463" s="60">
        <v>1214</v>
      </c>
      <c r="C463" s="100">
        <v>2285</v>
      </c>
      <c r="D463" s="81">
        <f>9.87+200</f>
        <v>209.87</v>
      </c>
      <c r="E463" s="75"/>
      <c r="F463" s="144">
        <f t="shared" si="140"/>
        <v>2494.87</v>
      </c>
      <c r="G463" s="146"/>
      <c r="H463" s="173"/>
      <c r="I463" s="186">
        <f t="shared" si="141"/>
        <v>2494.87</v>
      </c>
      <c r="J463" s="229"/>
      <c r="K463" s="257"/>
      <c r="L463" s="186">
        <f t="shared" si="142"/>
        <v>2494.87</v>
      </c>
      <c r="M463" s="156"/>
      <c r="N463" s="257"/>
      <c r="O463" s="186">
        <f t="shared" si="143"/>
        <v>2494.87</v>
      </c>
      <c r="P463" s="239"/>
      <c r="Q463" s="256">
        <f t="shared" si="144"/>
        <v>2494.87</v>
      </c>
    </row>
    <row r="464" spans="1:17" ht="12.75">
      <c r="A464" s="13" t="s">
        <v>262</v>
      </c>
      <c r="B464" s="60">
        <v>1213</v>
      </c>
      <c r="C464" s="100">
        <v>1500</v>
      </c>
      <c r="D464" s="81">
        <f>119.54</f>
        <v>119.54</v>
      </c>
      <c r="E464" s="75"/>
      <c r="F464" s="144">
        <f t="shared" si="140"/>
        <v>1619.54</v>
      </c>
      <c r="G464" s="146"/>
      <c r="H464" s="173"/>
      <c r="I464" s="186">
        <f t="shared" si="141"/>
        <v>1619.54</v>
      </c>
      <c r="J464" s="229"/>
      <c r="K464" s="257"/>
      <c r="L464" s="186">
        <f t="shared" si="142"/>
        <v>1619.54</v>
      </c>
      <c r="M464" s="156"/>
      <c r="N464" s="257"/>
      <c r="O464" s="186">
        <f t="shared" si="143"/>
        <v>1619.54</v>
      </c>
      <c r="P464" s="239"/>
      <c r="Q464" s="256">
        <f t="shared" si="144"/>
        <v>1619.54</v>
      </c>
    </row>
    <row r="465" spans="1:17" ht="12.75">
      <c r="A465" s="13" t="s">
        <v>308</v>
      </c>
      <c r="B465" s="60">
        <v>1216</v>
      </c>
      <c r="C465" s="100">
        <v>17000</v>
      </c>
      <c r="D465" s="75">
        <f>1256.46+1000</f>
        <v>2256.46</v>
      </c>
      <c r="E465" s="75"/>
      <c r="F465" s="144">
        <f t="shared" si="140"/>
        <v>19256.46</v>
      </c>
      <c r="G465" s="146">
        <f>-555</f>
        <v>-555</v>
      </c>
      <c r="H465" s="173"/>
      <c r="I465" s="186">
        <f t="shared" si="141"/>
        <v>18701.46</v>
      </c>
      <c r="J465" s="229"/>
      <c r="K465" s="257"/>
      <c r="L465" s="186">
        <f t="shared" si="142"/>
        <v>18701.46</v>
      </c>
      <c r="M465" s="156"/>
      <c r="N465" s="257"/>
      <c r="O465" s="186">
        <f t="shared" si="143"/>
        <v>18701.46</v>
      </c>
      <c r="P465" s="239"/>
      <c r="Q465" s="256">
        <f t="shared" si="144"/>
        <v>18701.46</v>
      </c>
    </row>
    <row r="466" spans="1:17" ht="12.75">
      <c r="A466" s="13" t="s">
        <v>204</v>
      </c>
      <c r="B466" s="60">
        <v>1239</v>
      </c>
      <c r="C466" s="100">
        <v>4300</v>
      </c>
      <c r="D466" s="75">
        <f>497.51+1500+2000+300</f>
        <v>4297.51</v>
      </c>
      <c r="E466" s="75"/>
      <c r="F466" s="144">
        <f t="shared" si="140"/>
        <v>8597.51</v>
      </c>
      <c r="G466" s="146">
        <f>3.49</f>
        <v>3.49</v>
      </c>
      <c r="H466" s="173"/>
      <c r="I466" s="186">
        <f t="shared" si="141"/>
        <v>8601</v>
      </c>
      <c r="J466" s="229">
        <f>610.29</f>
        <v>610.29</v>
      </c>
      <c r="K466" s="257"/>
      <c r="L466" s="186">
        <f t="shared" si="142"/>
        <v>9211.29</v>
      </c>
      <c r="M466" s="156"/>
      <c r="N466" s="257"/>
      <c r="O466" s="186">
        <f t="shared" si="143"/>
        <v>9211.29</v>
      </c>
      <c r="P466" s="239"/>
      <c r="Q466" s="256">
        <f t="shared" si="144"/>
        <v>9211.29</v>
      </c>
    </row>
    <row r="467" spans="1:17" ht="12.75">
      <c r="A467" s="13" t="s">
        <v>227</v>
      </c>
      <c r="B467" s="60">
        <v>1300</v>
      </c>
      <c r="C467" s="100">
        <v>16925.7</v>
      </c>
      <c r="D467" s="75">
        <f>650+4820+11759-9758</f>
        <v>7471</v>
      </c>
      <c r="E467" s="75">
        <f>14661.3</f>
        <v>14661.3</v>
      </c>
      <c r="F467" s="144">
        <f t="shared" si="140"/>
        <v>39058</v>
      </c>
      <c r="G467" s="146">
        <f>500+450+95.01</f>
        <v>1045.01</v>
      </c>
      <c r="H467" s="173">
        <f>8777.94</f>
        <v>8777.94</v>
      </c>
      <c r="I467" s="186">
        <f t="shared" si="141"/>
        <v>48880.950000000004</v>
      </c>
      <c r="J467" s="229">
        <f>-1200+290.42</f>
        <v>-909.5799999999999</v>
      </c>
      <c r="K467" s="257">
        <f>2740</f>
        <v>2740</v>
      </c>
      <c r="L467" s="186">
        <f t="shared" si="142"/>
        <v>50711.37</v>
      </c>
      <c r="M467" s="156">
        <v>134.23</v>
      </c>
      <c r="N467" s="257">
        <f>6230-200</f>
        <v>6030</v>
      </c>
      <c r="O467" s="186">
        <f t="shared" si="143"/>
        <v>56875.600000000006</v>
      </c>
      <c r="P467" s="239"/>
      <c r="Q467" s="256">
        <f t="shared" si="144"/>
        <v>56875.600000000006</v>
      </c>
    </row>
    <row r="468" spans="1:17" ht="12.75">
      <c r="A468" s="13" t="s">
        <v>205</v>
      </c>
      <c r="B468" s="60">
        <v>1110</v>
      </c>
      <c r="C468" s="100">
        <v>14500</v>
      </c>
      <c r="D468" s="75">
        <f>3550.38</f>
        <v>3550.38</v>
      </c>
      <c r="E468" s="75"/>
      <c r="F468" s="144">
        <f t="shared" si="140"/>
        <v>18050.38</v>
      </c>
      <c r="G468" s="146">
        <f>-5839.73</f>
        <v>-5839.73</v>
      </c>
      <c r="H468" s="173"/>
      <c r="I468" s="186">
        <f t="shared" si="141"/>
        <v>12210.650000000001</v>
      </c>
      <c r="J468" s="229">
        <f>60.38</f>
        <v>60.38</v>
      </c>
      <c r="K468" s="257"/>
      <c r="L468" s="186">
        <f t="shared" si="142"/>
        <v>12271.03</v>
      </c>
      <c r="M468" s="156"/>
      <c r="N468" s="257">
        <v>-166</v>
      </c>
      <c r="O468" s="186">
        <f t="shared" si="143"/>
        <v>12105.03</v>
      </c>
      <c r="P468" s="239"/>
      <c r="Q468" s="256">
        <f t="shared" si="144"/>
        <v>12105.03</v>
      </c>
    </row>
    <row r="469" spans="1:17" ht="12.75">
      <c r="A469" s="13" t="s">
        <v>274</v>
      </c>
      <c r="B469" s="60"/>
      <c r="C469" s="100">
        <v>3</v>
      </c>
      <c r="D469" s="75">
        <f>188.91</f>
        <v>188.91</v>
      </c>
      <c r="E469" s="75"/>
      <c r="F469" s="144">
        <f t="shared" si="140"/>
        <v>191.91</v>
      </c>
      <c r="G469" s="154"/>
      <c r="H469" s="173"/>
      <c r="I469" s="186">
        <f t="shared" si="141"/>
        <v>191.91</v>
      </c>
      <c r="J469" s="229"/>
      <c r="K469" s="257"/>
      <c r="L469" s="186">
        <f t="shared" si="142"/>
        <v>191.91</v>
      </c>
      <c r="M469" s="156"/>
      <c r="N469" s="257"/>
      <c r="O469" s="186">
        <f t="shared" si="143"/>
        <v>191.91</v>
      </c>
      <c r="P469" s="239"/>
      <c r="Q469" s="256">
        <f t="shared" si="144"/>
        <v>191.91</v>
      </c>
    </row>
    <row r="470" spans="1:17" ht="12.75">
      <c r="A470" s="19" t="s">
        <v>60</v>
      </c>
      <c r="B470" s="64"/>
      <c r="C470" s="117">
        <f>SUM(C472:C478)</f>
        <v>41100</v>
      </c>
      <c r="D470" s="78">
        <f aca="true" t="shared" si="145" ref="D470:Q470">SUM(D472:D478)</f>
        <v>46990.78999999999</v>
      </c>
      <c r="E470" s="78">
        <f t="shared" si="145"/>
        <v>35019.35</v>
      </c>
      <c r="F470" s="206">
        <f t="shared" si="145"/>
        <v>123110.13999999998</v>
      </c>
      <c r="G470" s="150">
        <f t="shared" si="145"/>
        <v>9544.73</v>
      </c>
      <c r="H470" s="176">
        <f t="shared" si="145"/>
        <v>16006.19</v>
      </c>
      <c r="I470" s="189">
        <f t="shared" si="145"/>
        <v>148661.06</v>
      </c>
      <c r="J470" s="243">
        <f t="shared" si="145"/>
        <v>1943.81</v>
      </c>
      <c r="K470" s="280">
        <f t="shared" si="145"/>
        <v>17132.77</v>
      </c>
      <c r="L470" s="189">
        <f t="shared" si="145"/>
        <v>167737.64</v>
      </c>
      <c r="M470" s="298">
        <f t="shared" si="145"/>
        <v>229.5</v>
      </c>
      <c r="N470" s="280">
        <f t="shared" si="145"/>
        <v>27096</v>
      </c>
      <c r="O470" s="189">
        <f t="shared" si="145"/>
        <v>195063.14</v>
      </c>
      <c r="P470" s="243">
        <f t="shared" si="145"/>
        <v>0</v>
      </c>
      <c r="Q470" s="224">
        <f t="shared" si="145"/>
        <v>195063.14</v>
      </c>
    </row>
    <row r="471" spans="1:17" ht="12.75">
      <c r="A471" s="15" t="s">
        <v>27</v>
      </c>
      <c r="B471" s="60"/>
      <c r="C471" s="100"/>
      <c r="D471" s="75"/>
      <c r="E471" s="75"/>
      <c r="F471" s="144"/>
      <c r="G471" s="146"/>
      <c r="H471" s="173"/>
      <c r="I471" s="186"/>
      <c r="J471" s="229"/>
      <c r="K471" s="257"/>
      <c r="L471" s="186"/>
      <c r="M471" s="156"/>
      <c r="N471" s="257"/>
      <c r="O471" s="186"/>
      <c r="P471" s="239"/>
      <c r="Q471" s="256"/>
    </row>
    <row r="472" spans="1:17" ht="12.75">
      <c r="A472" s="17" t="s">
        <v>218</v>
      </c>
      <c r="B472" s="60">
        <v>1239</v>
      </c>
      <c r="C472" s="100">
        <v>3000</v>
      </c>
      <c r="D472" s="75">
        <f>3888.84+18000+10000+5500</f>
        <v>37388.84</v>
      </c>
      <c r="E472" s="75"/>
      <c r="F472" s="144">
        <f aca="true" t="shared" si="146" ref="F472:F478">C472+D472+E472</f>
        <v>40388.84</v>
      </c>
      <c r="G472" s="146"/>
      <c r="H472" s="173"/>
      <c r="I472" s="186">
        <f aca="true" t="shared" si="147" ref="I472:I478">F472+G472+H472</f>
        <v>40388.84</v>
      </c>
      <c r="J472" s="229"/>
      <c r="K472" s="257"/>
      <c r="L472" s="186">
        <f aca="true" t="shared" si="148" ref="L472:L478">I472+J472+K472</f>
        <v>40388.84</v>
      </c>
      <c r="M472" s="156">
        <v>229.5</v>
      </c>
      <c r="N472" s="257"/>
      <c r="O472" s="186">
        <f aca="true" t="shared" si="149" ref="O472:O478">L472+M472+N472</f>
        <v>40618.34</v>
      </c>
      <c r="P472" s="239"/>
      <c r="Q472" s="256">
        <f aca="true" t="shared" si="150" ref="Q472:Q478">O472+P472</f>
        <v>40618.34</v>
      </c>
    </row>
    <row r="473" spans="1:17" ht="12.75" hidden="1">
      <c r="A473" s="17" t="s">
        <v>120</v>
      </c>
      <c r="B473" s="60">
        <v>1214</v>
      </c>
      <c r="C473" s="100"/>
      <c r="D473" s="75"/>
      <c r="E473" s="75"/>
      <c r="F473" s="144">
        <f t="shared" si="146"/>
        <v>0</v>
      </c>
      <c r="G473" s="146"/>
      <c r="H473" s="173"/>
      <c r="I473" s="186">
        <f t="shared" si="147"/>
        <v>0</v>
      </c>
      <c r="J473" s="229"/>
      <c r="K473" s="257"/>
      <c r="L473" s="186">
        <f t="shared" si="148"/>
        <v>0</v>
      </c>
      <c r="M473" s="156"/>
      <c r="N473" s="257"/>
      <c r="O473" s="186">
        <f t="shared" si="149"/>
        <v>0</v>
      </c>
      <c r="P473" s="239"/>
      <c r="Q473" s="256">
        <f t="shared" si="150"/>
        <v>0</v>
      </c>
    </row>
    <row r="474" spans="1:17" ht="12.75">
      <c r="A474" s="17" t="s">
        <v>275</v>
      </c>
      <c r="B474" s="60">
        <v>1209</v>
      </c>
      <c r="C474" s="100">
        <v>600</v>
      </c>
      <c r="D474" s="75">
        <f>4.45</f>
        <v>4.45</v>
      </c>
      <c r="E474" s="75"/>
      <c r="F474" s="144">
        <f t="shared" si="146"/>
        <v>604.45</v>
      </c>
      <c r="G474" s="146"/>
      <c r="H474" s="173"/>
      <c r="I474" s="186">
        <f t="shared" si="147"/>
        <v>604.45</v>
      </c>
      <c r="J474" s="229"/>
      <c r="K474" s="257"/>
      <c r="L474" s="186">
        <f t="shared" si="148"/>
        <v>604.45</v>
      </c>
      <c r="M474" s="156"/>
      <c r="N474" s="257"/>
      <c r="O474" s="186">
        <f t="shared" si="149"/>
        <v>604.45</v>
      </c>
      <c r="P474" s="239"/>
      <c r="Q474" s="256">
        <f t="shared" si="150"/>
        <v>604.45</v>
      </c>
    </row>
    <row r="475" spans="1:17" ht="12.75">
      <c r="A475" s="13" t="s">
        <v>360</v>
      </c>
      <c r="B475" s="60">
        <v>1216</v>
      </c>
      <c r="C475" s="100"/>
      <c r="D475" s="75"/>
      <c r="E475" s="75"/>
      <c r="F475" s="144">
        <f t="shared" si="146"/>
        <v>0</v>
      </c>
      <c r="G475" s="146">
        <f>555</f>
        <v>555</v>
      </c>
      <c r="H475" s="173"/>
      <c r="I475" s="186">
        <f t="shared" si="147"/>
        <v>555</v>
      </c>
      <c r="J475" s="229"/>
      <c r="K475" s="257"/>
      <c r="L475" s="186">
        <f t="shared" si="148"/>
        <v>555</v>
      </c>
      <c r="M475" s="156"/>
      <c r="N475" s="257"/>
      <c r="O475" s="186">
        <f t="shared" si="149"/>
        <v>555</v>
      </c>
      <c r="P475" s="239"/>
      <c r="Q475" s="256">
        <f t="shared" si="150"/>
        <v>555</v>
      </c>
    </row>
    <row r="476" spans="1:17" ht="12.75">
      <c r="A476" s="13" t="s">
        <v>171</v>
      </c>
      <c r="B476" s="60">
        <v>1202</v>
      </c>
      <c r="C476" s="100"/>
      <c r="D476" s="75">
        <f>1000</f>
        <v>1000</v>
      </c>
      <c r="E476" s="75"/>
      <c r="F476" s="144">
        <f t="shared" si="146"/>
        <v>1000</v>
      </c>
      <c r="G476" s="146">
        <f>150</f>
        <v>150</v>
      </c>
      <c r="H476" s="173"/>
      <c r="I476" s="186">
        <f t="shared" si="147"/>
        <v>1150</v>
      </c>
      <c r="J476" s="229"/>
      <c r="K476" s="257"/>
      <c r="L476" s="186">
        <f t="shared" si="148"/>
        <v>1150</v>
      </c>
      <c r="M476" s="156"/>
      <c r="N476" s="257"/>
      <c r="O476" s="186">
        <f t="shared" si="149"/>
        <v>1150</v>
      </c>
      <c r="P476" s="239"/>
      <c r="Q476" s="256">
        <f t="shared" si="150"/>
        <v>1150</v>
      </c>
    </row>
    <row r="477" spans="1:17" ht="12.75">
      <c r="A477" s="17" t="s">
        <v>232</v>
      </c>
      <c r="B477" s="60">
        <v>1300</v>
      </c>
      <c r="C477" s="100">
        <v>7500</v>
      </c>
      <c r="D477" s="75">
        <f>1700+1200</f>
        <v>2900</v>
      </c>
      <c r="E477" s="75">
        <f>23019.35+12000</f>
        <v>35019.35</v>
      </c>
      <c r="F477" s="144">
        <f t="shared" si="146"/>
        <v>45419.35</v>
      </c>
      <c r="G477" s="146">
        <f>3000</f>
        <v>3000</v>
      </c>
      <c r="H477" s="173">
        <f>16006.19</f>
        <v>16006.19</v>
      </c>
      <c r="I477" s="186">
        <f t="shared" si="147"/>
        <v>64425.54</v>
      </c>
      <c r="J477" s="229">
        <f>1200+743.81</f>
        <v>1943.81</v>
      </c>
      <c r="K477" s="257">
        <f>17132.77</f>
        <v>17132.77</v>
      </c>
      <c r="L477" s="186">
        <f t="shared" si="148"/>
        <v>83502.12000000001</v>
      </c>
      <c r="M477" s="156"/>
      <c r="N477" s="257">
        <f>26650+80+200</f>
        <v>26930</v>
      </c>
      <c r="O477" s="186">
        <f t="shared" si="149"/>
        <v>110432.12000000001</v>
      </c>
      <c r="P477" s="239"/>
      <c r="Q477" s="256">
        <f t="shared" si="150"/>
        <v>110432.12000000001</v>
      </c>
    </row>
    <row r="478" spans="1:17" ht="12.75">
      <c r="A478" s="16" t="s">
        <v>91</v>
      </c>
      <c r="B478" s="63">
        <v>1110</v>
      </c>
      <c r="C478" s="121">
        <v>30000</v>
      </c>
      <c r="D478" s="79">
        <f>1739.5+3958</f>
        <v>5697.5</v>
      </c>
      <c r="E478" s="79"/>
      <c r="F478" s="97">
        <f t="shared" si="146"/>
        <v>35697.5</v>
      </c>
      <c r="G478" s="152">
        <f>5839.73</f>
        <v>5839.73</v>
      </c>
      <c r="H478" s="178"/>
      <c r="I478" s="191">
        <f t="shared" si="147"/>
        <v>41537.229999999996</v>
      </c>
      <c r="J478" s="245"/>
      <c r="K478" s="261"/>
      <c r="L478" s="191">
        <f t="shared" si="148"/>
        <v>41537.229999999996</v>
      </c>
      <c r="M478" s="152"/>
      <c r="N478" s="261">
        <v>166</v>
      </c>
      <c r="O478" s="191">
        <f t="shared" si="149"/>
        <v>41703.229999999996</v>
      </c>
      <c r="P478" s="262"/>
      <c r="Q478" s="263">
        <f t="shared" si="150"/>
        <v>41703.229999999996</v>
      </c>
    </row>
    <row r="479" spans="1:17" ht="12.75">
      <c r="A479" s="10" t="s">
        <v>151</v>
      </c>
      <c r="B479" s="64"/>
      <c r="C479" s="105">
        <f aca="true" t="shared" si="151" ref="C479:Q479">C480</f>
        <v>1</v>
      </c>
      <c r="D479" s="74">
        <f t="shared" si="151"/>
        <v>5292.85</v>
      </c>
      <c r="E479" s="74">
        <f t="shared" si="151"/>
        <v>0</v>
      </c>
      <c r="F479" s="204">
        <f t="shared" si="151"/>
        <v>5293.85</v>
      </c>
      <c r="G479" s="145">
        <f t="shared" si="151"/>
        <v>0</v>
      </c>
      <c r="H479" s="172">
        <f t="shared" si="151"/>
        <v>0</v>
      </c>
      <c r="I479" s="185">
        <f t="shared" si="151"/>
        <v>5293.85</v>
      </c>
      <c r="J479" s="238">
        <f t="shared" si="151"/>
        <v>0</v>
      </c>
      <c r="K479" s="255">
        <f t="shared" si="151"/>
        <v>0</v>
      </c>
      <c r="L479" s="185">
        <f t="shared" si="151"/>
        <v>5293.85</v>
      </c>
      <c r="M479" s="254">
        <f t="shared" si="151"/>
        <v>0</v>
      </c>
      <c r="N479" s="255">
        <f t="shared" si="151"/>
        <v>0</v>
      </c>
      <c r="O479" s="185">
        <f t="shared" si="151"/>
        <v>5293.85</v>
      </c>
      <c r="P479" s="238">
        <f t="shared" si="151"/>
        <v>0</v>
      </c>
      <c r="Q479" s="221">
        <f t="shared" si="151"/>
        <v>5293.85</v>
      </c>
    </row>
    <row r="480" spans="1:17" ht="12.75">
      <c r="A480" s="19" t="s">
        <v>55</v>
      </c>
      <c r="B480" s="64"/>
      <c r="C480" s="117">
        <f>C482</f>
        <v>1</v>
      </c>
      <c r="D480" s="78">
        <f aca="true" t="shared" si="152" ref="D480:Q480">D482</f>
        <v>5292.85</v>
      </c>
      <c r="E480" s="78">
        <f t="shared" si="152"/>
        <v>0</v>
      </c>
      <c r="F480" s="206">
        <f t="shared" si="152"/>
        <v>5293.85</v>
      </c>
      <c r="G480" s="150">
        <f t="shared" si="152"/>
        <v>0</v>
      </c>
      <c r="H480" s="176">
        <f t="shared" si="152"/>
        <v>0</v>
      </c>
      <c r="I480" s="189">
        <f t="shared" si="152"/>
        <v>5293.85</v>
      </c>
      <c r="J480" s="243">
        <f t="shared" si="152"/>
        <v>0</v>
      </c>
      <c r="K480" s="280">
        <f t="shared" si="152"/>
        <v>0</v>
      </c>
      <c r="L480" s="189">
        <f t="shared" si="152"/>
        <v>5293.85</v>
      </c>
      <c r="M480" s="298">
        <f t="shared" si="152"/>
        <v>0</v>
      </c>
      <c r="N480" s="280">
        <f t="shared" si="152"/>
        <v>0</v>
      </c>
      <c r="O480" s="189">
        <f t="shared" si="152"/>
        <v>5293.85</v>
      </c>
      <c r="P480" s="243">
        <f t="shared" si="152"/>
        <v>0</v>
      </c>
      <c r="Q480" s="224">
        <f t="shared" si="152"/>
        <v>5293.85</v>
      </c>
    </row>
    <row r="481" spans="1:17" ht="12.75">
      <c r="A481" s="15" t="s">
        <v>27</v>
      </c>
      <c r="B481" s="60"/>
      <c r="C481" s="100"/>
      <c r="D481" s="75"/>
      <c r="E481" s="75"/>
      <c r="F481" s="144"/>
      <c r="G481" s="146"/>
      <c r="H481" s="173"/>
      <c r="I481" s="186"/>
      <c r="J481" s="229"/>
      <c r="K481" s="257"/>
      <c r="L481" s="186"/>
      <c r="M481" s="156"/>
      <c r="N481" s="257"/>
      <c r="O481" s="186"/>
      <c r="P481" s="239"/>
      <c r="Q481" s="256"/>
    </row>
    <row r="482" spans="1:17" ht="12.75">
      <c r="A482" s="16" t="s">
        <v>57</v>
      </c>
      <c r="B482" s="63"/>
      <c r="C482" s="118">
        <v>1</v>
      </c>
      <c r="D482" s="79">
        <f>5292.85</f>
        <v>5292.85</v>
      </c>
      <c r="E482" s="79"/>
      <c r="F482" s="97">
        <f>C482+D482+E482</f>
        <v>5293.85</v>
      </c>
      <c r="G482" s="152"/>
      <c r="H482" s="178"/>
      <c r="I482" s="191">
        <f>F482+G482+H482</f>
        <v>5293.85</v>
      </c>
      <c r="J482" s="245"/>
      <c r="K482" s="261"/>
      <c r="L482" s="191">
        <f>I482+J482+K482</f>
        <v>5293.85</v>
      </c>
      <c r="M482" s="300"/>
      <c r="N482" s="261"/>
      <c r="O482" s="191">
        <f>L482+M482+N482</f>
        <v>5293.85</v>
      </c>
      <c r="P482" s="262"/>
      <c r="Q482" s="263">
        <f>O482+P482</f>
        <v>5293.85</v>
      </c>
    </row>
    <row r="483" spans="1:17" ht="12.75">
      <c r="A483" s="10" t="s">
        <v>110</v>
      </c>
      <c r="B483" s="64"/>
      <c r="C483" s="105">
        <f>C485+C486</f>
        <v>505373</v>
      </c>
      <c r="D483" s="74">
        <f aca="true" t="shared" si="153" ref="D483:Q483">D485+D486</f>
        <v>653931.21</v>
      </c>
      <c r="E483" s="74">
        <f t="shared" si="153"/>
        <v>0</v>
      </c>
      <c r="F483" s="204">
        <f t="shared" si="153"/>
        <v>1159304.21</v>
      </c>
      <c r="G483" s="145">
        <f t="shared" si="153"/>
        <v>8588.000000000002</v>
      </c>
      <c r="H483" s="172">
        <f t="shared" si="153"/>
        <v>0</v>
      </c>
      <c r="I483" s="185">
        <f t="shared" si="153"/>
        <v>1167892.21</v>
      </c>
      <c r="J483" s="238">
        <f t="shared" si="153"/>
        <v>51155</v>
      </c>
      <c r="K483" s="255">
        <f t="shared" si="153"/>
        <v>0</v>
      </c>
      <c r="L483" s="185">
        <f t="shared" si="153"/>
        <v>1219047.21</v>
      </c>
      <c r="M483" s="254">
        <f t="shared" si="153"/>
        <v>5003.77</v>
      </c>
      <c r="N483" s="255">
        <f t="shared" si="153"/>
        <v>0</v>
      </c>
      <c r="O483" s="185">
        <f t="shared" si="153"/>
        <v>1224050.98</v>
      </c>
      <c r="P483" s="238">
        <f t="shared" si="153"/>
        <v>0</v>
      </c>
      <c r="Q483" s="221">
        <f t="shared" si="153"/>
        <v>1224050.98</v>
      </c>
    </row>
    <row r="484" spans="1:17" ht="12.75">
      <c r="A484" s="12" t="s">
        <v>27</v>
      </c>
      <c r="B484" s="60"/>
      <c r="C484" s="105"/>
      <c r="D484" s="74"/>
      <c r="E484" s="74"/>
      <c r="F484" s="204"/>
      <c r="G484" s="145"/>
      <c r="H484" s="172"/>
      <c r="I484" s="185"/>
      <c r="J484" s="238"/>
      <c r="K484" s="255"/>
      <c r="L484" s="185"/>
      <c r="M484" s="254"/>
      <c r="N484" s="255"/>
      <c r="O484" s="185"/>
      <c r="P484" s="238"/>
      <c r="Q484" s="221"/>
    </row>
    <row r="485" spans="1:17" ht="12.75">
      <c r="A485" s="10" t="s">
        <v>55</v>
      </c>
      <c r="B485" s="64"/>
      <c r="C485" s="96">
        <f>C492+C494+C506+C508+C513+C515+C525+C509+C499+C527+C501+C531</f>
        <v>69402</v>
      </c>
      <c r="D485" s="76">
        <f>D492+D494+D506+D508+D513+D525+D509+D499+D527+D501+D531</f>
        <v>98668.07</v>
      </c>
      <c r="E485" s="76">
        <f>E492+E494+E506+E508+E513+E525+E509+E499+E527+E501+E531</f>
        <v>0</v>
      </c>
      <c r="F485" s="139">
        <f>F492+F494+F506+F508+F513+F525+F509+F499+F527+F501+F531</f>
        <v>168070.07000000004</v>
      </c>
      <c r="G485" s="148">
        <f>G492+G494+G506+G508+G513+G525+G509+G499+G527+G501+G531</f>
        <v>-8253.35</v>
      </c>
      <c r="H485" s="155">
        <f>H492+H494+H506+H508+H513+H525+H509+H499+H527+H501+H531</f>
        <v>0</v>
      </c>
      <c r="I485" s="187">
        <f>I492+I494+I506+I508+I513+I515+I525+I509+I499+I527+I501+I531</f>
        <v>159816.72000000003</v>
      </c>
      <c r="J485" s="240">
        <f>J492+J494+J506+J508+J513+J515+J525+J509+J499+J527+J501+J531</f>
        <v>-19792.7</v>
      </c>
      <c r="K485" s="260">
        <f>K492+K494+K506+K508+K513+K525+K509+K499+K527+K501+K531</f>
        <v>0</v>
      </c>
      <c r="L485" s="187">
        <f>L492+L494+L506+L508+L513+L515+L525+L509+L499+L527+L501+L531</f>
        <v>140024.02000000002</v>
      </c>
      <c r="M485" s="148">
        <f>M492+M494+M506+M508+M513+M525+M509+M499+M527+M501+M531+M515</f>
        <v>1530.3600000000001</v>
      </c>
      <c r="N485" s="260">
        <f>N492+N494+N506+N508+N513+N525+N509+N499+N527+N501+N531+N515</f>
        <v>0</v>
      </c>
      <c r="O485" s="187">
        <f>O492+O494+O506+O508+O513+O525+O509+O499+O527+O501+O531+O515</f>
        <v>141554.38</v>
      </c>
      <c r="P485" s="240">
        <f>P492+P494+P506+P508+P513+P525+P509+P499+P527+P501+P531+P515</f>
        <v>0</v>
      </c>
      <c r="Q485" s="251">
        <f>Q492+Q494+Q506+Q508+Q513+Q525+Q509+Q499+Q527+Q501+Q531+Q515</f>
        <v>141554.38</v>
      </c>
    </row>
    <row r="486" spans="1:17" ht="12.75">
      <c r="A486" s="10" t="s">
        <v>60</v>
      </c>
      <c r="B486" s="64"/>
      <c r="C486" s="96">
        <f aca="true" t="shared" si="154" ref="C486:L486">+C489+C490+C491+C495+C496+C498+C500+C502+C504+C505+C507+C510+C512+C514+C516+C518+C519+C521+C522+C524+C526+C528+C530</f>
        <v>435971</v>
      </c>
      <c r="D486" s="76">
        <f t="shared" si="154"/>
        <v>555263.14</v>
      </c>
      <c r="E486" s="76">
        <f t="shared" si="154"/>
        <v>0</v>
      </c>
      <c r="F486" s="139">
        <f t="shared" si="154"/>
        <v>991234.1399999999</v>
      </c>
      <c r="G486" s="155">
        <f t="shared" si="154"/>
        <v>16841.350000000002</v>
      </c>
      <c r="H486" s="155">
        <f t="shared" si="154"/>
        <v>0</v>
      </c>
      <c r="I486" s="187">
        <f t="shared" si="154"/>
        <v>1008075.4899999999</v>
      </c>
      <c r="J486" s="240">
        <f t="shared" si="154"/>
        <v>70947.7</v>
      </c>
      <c r="K486" s="260">
        <f t="shared" si="154"/>
        <v>0</v>
      </c>
      <c r="L486" s="187">
        <f t="shared" si="154"/>
        <v>1079023.19</v>
      </c>
      <c r="M486" s="296">
        <f>M489+M490+M491+M495+M496+M498+M500+M502+M504+M505+M507+M510+M512+M514+M516+M518+M521+M522+M524+M526+M528+M530</f>
        <v>3473.4100000000008</v>
      </c>
      <c r="N486" s="260">
        <f>N489+N490+N491+N495+N496+N498+N500+N502+N504+N505+N507+N510+N512+N514+N516+N518+N521+N522+N524+N526+N528+N530</f>
        <v>0</v>
      </c>
      <c r="O486" s="187">
        <f>O489+O490+O491+O495+O496+O498+O500+O502+O504+O505+O507+O510+O512+O514+O516+O518+O521+O522+O524+O526+O528+O530</f>
        <v>1082496.5999999999</v>
      </c>
      <c r="P486" s="240">
        <f>P489+P490+P491+P495+P496+P498+P500+P502+P504+P505+P507+P510+P512+P514+P516+P518+P521+P522+P524+P526+P528+P530</f>
        <v>0</v>
      </c>
      <c r="Q486" s="251">
        <f>Q489+Q490+Q491+Q495+Q496+Q498+Q500+Q502+Q504+Q505+Q507+Q510+Q512+Q514+Q516+Q518+Q521+Q522+Q524+Q526+Q528+Q530</f>
        <v>1082496.5999999999</v>
      </c>
    </row>
    <row r="487" spans="1:17" ht="12.75">
      <c r="A487" s="11" t="s">
        <v>111</v>
      </c>
      <c r="B487" s="60"/>
      <c r="C487" s="105"/>
      <c r="D487" s="74"/>
      <c r="E487" s="74"/>
      <c r="F487" s="204"/>
      <c r="G487" s="145"/>
      <c r="H487" s="172"/>
      <c r="I487" s="185"/>
      <c r="J487" s="238"/>
      <c r="K487" s="255"/>
      <c r="L487" s="185"/>
      <c r="M487" s="254"/>
      <c r="N487" s="255"/>
      <c r="O487" s="185"/>
      <c r="P487" s="239"/>
      <c r="Q487" s="256"/>
    </row>
    <row r="488" spans="1:17" ht="12.75">
      <c r="A488" s="12" t="s">
        <v>115</v>
      </c>
      <c r="B488" s="60">
        <v>10</v>
      </c>
      <c r="C488" s="100">
        <f>SUM(C489:C492)</f>
        <v>150000</v>
      </c>
      <c r="D488" s="75">
        <f aca="true" t="shared" si="155" ref="D488:Q488">SUM(D489:D492)</f>
        <v>97894.71</v>
      </c>
      <c r="E488" s="75">
        <f t="shared" si="155"/>
        <v>0</v>
      </c>
      <c r="F488" s="144">
        <f t="shared" si="155"/>
        <v>247894.71000000002</v>
      </c>
      <c r="G488" s="146">
        <f t="shared" si="155"/>
        <v>8.64</v>
      </c>
      <c r="H488" s="173">
        <f t="shared" si="155"/>
        <v>0</v>
      </c>
      <c r="I488" s="186">
        <f t="shared" si="155"/>
        <v>247903.35</v>
      </c>
      <c r="J488" s="229">
        <f t="shared" si="155"/>
        <v>19999.999999999996</v>
      </c>
      <c r="K488" s="257">
        <f t="shared" si="155"/>
        <v>0</v>
      </c>
      <c r="L488" s="186">
        <f t="shared" si="155"/>
        <v>267903.35000000003</v>
      </c>
      <c r="M488" s="156">
        <f t="shared" si="155"/>
        <v>700</v>
      </c>
      <c r="N488" s="257">
        <f t="shared" si="155"/>
        <v>0</v>
      </c>
      <c r="O488" s="186">
        <f t="shared" si="155"/>
        <v>268603.35000000003</v>
      </c>
      <c r="P488" s="229">
        <f t="shared" si="155"/>
        <v>0</v>
      </c>
      <c r="Q488" s="220">
        <f t="shared" si="155"/>
        <v>268603.35000000003</v>
      </c>
    </row>
    <row r="489" spans="1:17" ht="12.75">
      <c r="A489" s="12" t="s">
        <v>116</v>
      </c>
      <c r="B489" s="60"/>
      <c r="C489" s="100"/>
      <c r="D489" s="75"/>
      <c r="E489" s="75"/>
      <c r="F489" s="144">
        <f aca="true" t="shared" si="156" ref="F489:F534">C489+D489+E489</f>
        <v>0</v>
      </c>
      <c r="G489" s="146"/>
      <c r="H489" s="173"/>
      <c r="I489" s="186">
        <f>F489+G489+H489</f>
        <v>0</v>
      </c>
      <c r="J489" s="229"/>
      <c r="K489" s="257"/>
      <c r="L489" s="186">
        <f>I489+J489+K489</f>
        <v>0</v>
      </c>
      <c r="M489" s="156"/>
      <c r="N489" s="257"/>
      <c r="O489" s="186">
        <f>L489+M489+N489</f>
        <v>0</v>
      </c>
      <c r="P489" s="239"/>
      <c r="Q489" s="256">
        <f>O489+P489</f>
        <v>0</v>
      </c>
    </row>
    <row r="490" spans="1:17" ht="12.75">
      <c r="A490" s="12" t="s">
        <v>117</v>
      </c>
      <c r="B490" s="60"/>
      <c r="C490" s="100">
        <v>130000</v>
      </c>
      <c r="D490" s="81">
        <f>22082.45+9500</f>
        <v>31582.45</v>
      </c>
      <c r="E490" s="81"/>
      <c r="F490" s="144">
        <f t="shared" si="156"/>
        <v>161582.45</v>
      </c>
      <c r="G490" s="146"/>
      <c r="H490" s="173"/>
      <c r="I490" s="186">
        <f>F490+G490+H490</f>
        <v>161582.45</v>
      </c>
      <c r="J490" s="229">
        <f>20000+21525.7</f>
        <v>41525.7</v>
      </c>
      <c r="K490" s="257"/>
      <c r="L490" s="186">
        <f>I490+J490+K490</f>
        <v>203108.15000000002</v>
      </c>
      <c r="M490" s="156">
        <v>-500</v>
      </c>
      <c r="N490" s="257"/>
      <c r="O490" s="186">
        <f>L490+M490+N490</f>
        <v>202608.15000000002</v>
      </c>
      <c r="P490" s="239"/>
      <c r="Q490" s="256">
        <f>O490+P490</f>
        <v>202608.15000000002</v>
      </c>
    </row>
    <row r="491" spans="1:17" ht="12.75">
      <c r="A491" s="12" t="s">
        <v>114</v>
      </c>
      <c r="B491" s="60"/>
      <c r="C491" s="100"/>
      <c r="D491" s="75">
        <f>1164.85</f>
        <v>1164.85</v>
      </c>
      <c r="E491" s="75"/>
      <c r="F491" s="144">
        <f t="shared" si="156"/>
        <v>1164.85</v>
      </c>
      <c r="G491" s="146">
        <f>8.64</f>
        <v>8.64</v>
      </c>
      <c r="H491" s="173"/>
      <c r="I491" s="186">
        <f>F491+G491+H491</f>
        <v>1173.49</v>
      </c>
      <c r="J491" s="229"/>
      <c r="K491" s="257"/>
      <c r="L491" s="186">
        <f>I491+J491+K491</f>
        <v>1173.49</v>
      </c>
      <c r="M491" s="156"/>
      <c r="N491" s="257"/>
      <c r="O491" s="186">
        <f>L491+M491+N491</f>
        <v>1173.49</v>
      </c>
      <c r="P491" s="239"/>
      <c r="Q491" s="256">
        <f>O491+P491</f>
        <v>1173.49</v>
      </c>
    </row>
    <row r="492" spans="1:17" ht="12.75">
      <c r="A492" s="13" t="s">
        <v>143</v>
      </c>
      <c r="B492" s="60"/>
      <c r="C492" s="100">
        <v>20000</v>
      </c>
      <c r="D492" s="99">
        <f>16647.41+48500</f>
        <v>65147.41</v>
      </c>
      <c r="E492" s="75"/>
      <c r="F492" s="144">
        <f t="shared" si="156"/>
        <v>85147.41</v>
      </c>
      <c r="G492" s="146"/>
      <c r="H492" s="173"/>
      <c r="I492" s="186">
        <f>F492+G492+H492</f>
        <v>85147.41</v>
      </c>
      <c r="J492" s="229">
        <f>-21525.7</f>
        <v>-21525.7</v>
      </c>
      <c r="K492" s="257"/>
      <c r="L492" s="186">
        <f>I492+J492+K492</f>
        <v>63621.71000000001</v>
      </c>
      <c r="M492" s="156">
        <f>700+500</f>
        <v>1200</v>
      </c>
      <c r="N492" s="257"/>
      <c r="O492" s="186">
        <f>L492+M492+N492</f>
        <v>64821.71000000001</v>
      </c>
      <c r="P492" s="239"/>
      <c r="Q492" s="256">
        <f>O492+P492</f>
        <v>64821.71000000001</v>
      </c>
    </row>
    <row r="493" spans="1:17" ht="12.75">
      <c r="A493" s="12" t="s">
        <v>118</v>
      </c>
      <c r="B493" s="60">
        <v>12</v>
      </c>
      <c r="C493" s="100">
        <f aca="true" t="shared" si="157" ref="C493:Q493">C494+C495+C496</f>
        <v>28000</v>
      </c>
      <c r="D493" s="75">
        <f t="shared" si="157"/>
        <v>83682.65</v>
      </c>
      <c r="E493" s="75">
        <f t="shared" si="157"/>
        <v>0</v>
      </c>
      <c r="F493" s="144">
        <f t="shared" si="157"/>
        <v>111682.65</v>
      </c>
      <c r="G493" s="146">
        <f t="shared" si="157"/>
        <v>-600</v>
      </c>
      <c r="H493" s="173">
        <f t="shared" si="157"/>
        <v>0</v>
      </c>
      <c r="I493" s="186">
        <f t="shared" si="157"/>
        <v>111082.65</v>
      </c>
      <c r="J493" s="229">
        <f t="shared" si="157"/>
        <v>0</v>
      </c>
      <c r="K493" s="257">
        <f t="shared" si="157"/>
        <v>0</v>
      </c>
      <c r="L493" s="186">
        <f t="shared" si="157"/>
        <v>111082.65</v>
      </c>
      <c r="M493" s="156">
        <f t="shared" si="157"/>
        <v>0</v>
      </c>
      <c r="N493" s="257">
        <f t="shared" si="157"/>
        <v>0</v>
      </c>
      <c r="O493" s="186">
        <f t="shared" si="157"/>
        <v>111082.65</v>
      </c>
      <c r="P493" s="229">
        <f t="shared" si="157"/>
        <v>0</v>
      </c>
      <c r="Q493" s="220">
        <f t="shared" si="157"/>
        <v>111082.65</v>
      </c>
    </row>
    <row r="494" spans="1:17" ht="12.75">
      <c r="A494" s="12" t="s">
        <v>119</v>
      </c>
      <c r="B494" s="60"/>
      <c r="C494" s="100">
        <v>2400</v>
      </c>
      <c r="D494" s="75">
        <f>1119.14</f>
        <v>1119.14</v>
      </c>
      <c r="E494" s="75"/>
      <c r="F494" s="144">
        <f t="shared" si="156"/>
        <v>3519.1400000000003</v>
      </c>
      <c r="G494" s="146">
        <f>-1500</f>
        <v>-1500</v>
      </c>
      <c r="H494" s="173"/>
      <c r="I494" s="186">
        <f>F494+G494+H494</f>
        <v>2019.1400000000003</v>
      </c>
      <c r="J494" s="229">
        <v>-333</v>
      </c>
      <c r="K494" s="257"/>
      <c r="L494" s="186">
        <f>I494+J494+K494</f>
        <v>1686.1400000000003</v>
      </c>
      <c r="M494" s="156">
        <v>-50</v>
      </c>
      <c r="N494" s="257"/>
      <c r="O494" s="186">
        <f>L494+M494+N494</f>
        <v>1636.1400000000003</v>
      </c>
      <c r="P494" s="239"/>
      <c r="Q494" s="256">
        <f>O494+P494</f>
        <v>1636.1400000000003</v>
      </c>
    </row>
    <row r="495" spans="1:17" ht="12.75">
      <c r="A495" s="12" t="s">
        <v>117</v>
      </c>
      <c r="B495" s="60"/>
      <c r="C495" s="100">
        <v>25600</v>
      </c>
      <c r="D495" s="75">
        <f>78963.51+3600</f>
        <v>82563.51</v>
      </c>
      <c r="E495" s="75"/>
      <c r="F495" s="144">
        <f t="shared" si="156"/>
        <v>108163.51</v>
      </c>
      <c r="G495" s="146">
        <f>1500-600</f>
        <v>900</v>
      </c>
      <c r="H495" s="173"/>
      <c r="I495" s="186">
        <f>F495+G495+H495</f>
        <v>109063.51</v>
      </c>
      <c r="J495" s="229">
        <v>333</v>
      </c>
      <c r="K495" s="257"/>
      <c r="L495" s="186">
        <f>I495+J495+K495</f>
        <v>109396.51</v>
      </c>
      <c r="M495" s="156">
        <v>50</v>
      </c>
      <c r="N495" s="257"/>
      <c r="O495" s="186">
        <f>L495+M495+N495</f>
        <v>109446.51</v>
      </c>
      <c r="P495" s="239"/>
      <c r="Q495" s="256">
        <f>O495+P495</f>
        <v>109446.51</v>
      </c>
    </row>
    <row r="496" spans="1:17" ht="12.75" customHeight="1" hidden="1">
      <c r="A496" s="12" t="s">
        <v>114</v>
      </c>
      <c r="B496" s="60"/>
      <c r="C496" s="100"/>
      <c r="D496" s="75"/>
      <c r="E496" s="75"/>
      <c r="F496" s="144">
        <f t="shared" si="156"/>
        <v>0</v>
      </c>
      <c r="G496" s="146"/>
      <c r="H496" s="173"/>
      <c r="I496" s="186">
        <f>F496+G496+H496</f>
        <v>0</v>
      </c>
      <c r="J496" s="229"/>
      <c r="K496" s="257"/>
      <c r="L496" s="186">
        <f>I496+J496+K496</f>
        <v>0</v>
      </c>
      <c r="M496" s="156"/>
      <c r="N496" s="257"/>
      <c r="O496" s="186">
        <f>L496+M496+N496</f>
        <v>0</v>
      </c>
      <c r="P496" s="239"/>
      <c r="Q496" s="256">
        <f>O496+P496</f>
        <v>0</v>
      </c>
    </row>
    <row r="497" spans="1:17" ht="12.75">
      <c r="A497" s="12" t="s">
        <v>120</v>
      </c>
      <c r="B497" s="60">
        <v>14</v>
      </c>
      <c r="C497" s="100">
        <f>SUM(C498:C502)</f>
        <v>107000</v>
      </c>
      <c r="D497" s="75">
        <f aca="true" t="shared" si="158" ref="D497:Q497">SUM(D498:D502)</f>
        <v>32581.260000000002</v>
      </c>
      <c r="E497" s="75">
        <f t="shared" si="158"/>
        <v>0</v>
      </c>
      <c r="F497" s="144">
        <f t="shared" si="158"/>
        <v>139581.26</v>
      </c>
      <c r="G497" s="146">
        <f t="shared" si="158"/>
        <v>10338.99</v>
      </c>
      <c r="H497" s="173">
        <f t="shared" si="158"/>
        <v>0</v>
      </c>
      <c r="I497" s="186">
        <f t="shared" si="158"/>
        <v>149920.25</v>
      </c>
      <c r="J497" s="229">
        <f t="shared" si="158"/>
        <v>11980</v>
      </c>
      <c r="K497" s="257">
        <f t="shared" si="158"/>
        <v>0</v>
      </c>
      <c r="L497" s="186">
        <f t="shared" si="158"/>
        <v>161900.25</v>
      </c>
      <c r="M497" s="156">
        <f t="shared" si="158"/>
        <v>9853.77</v>
      </c>
      <c r="N497" s="257">
        <f t="shared" si="158"/>
        <v>0</v>
      </c>
      <c r="O497" s="186">
        <f t="shared" si="158"/>
        <v>171754.02000000002</v>
      </c>
      <c r="P497" s="229">
        <f t="shared" si="158"/>
        <v>0</v>
      </c>
      <c r="Q497" s="220">
        <f t="shared" si="158"/>
        <v>171754.02000000002</v>
      </c>
    </row>
    <row r="498" spans="1:17" ht="12.75">
      <c r="A498" s="12" t="s">
        <v>121</v>
      </c>
      <c r="B498" s="60"/>
      <c r="C498" s="100">
        <v>63000</v>
      </c>
      <c r="D498" s="81">
        <f>23088+900+3099.26</f>
        <v>27087.260000000002</v>
      </c>
      <c r="E498" s="81"/>
      <c r="F498" s="144">
        <f t="shared" si="156"/>
        <v>90087.26000000001</v>
      </c>
      <c r="G498" s="146">
        <f>-1908-2600+338.99+8150</f>
        <v>3980.99</v>
      </c>
      <c r="H498" s="173"/>
      <c r="I498" s="186">
        <f>F498+G498+H498</f>
        <v>94068.25000000001</v>
      </c>
      <c r="J498" s="229">
        <f>-410+4500+1010-36-420-1540</f>
        <v>3104</v>
      </c>
      <c r="K498" s="257"/>
      <c r="L498" s="186">
        <f>I498+J498+K498</f>
        <v>97172.25000000001</v>
      </c>
      <c r="M498" s="156">
        <f>4809+9145-602+44.77+4004</f>
        <v>17400.77</v>
      </c>
      <c r="N498" s="257"/>
      <c r="O498" s="186">
        <f>L498+M498+N498</f>
        <v>114573.02000000002</v>
      </c>
      <c r="P498" s="239"/>
      <c r="Q498" s="256">
        <f aca="true" t="shared" si="159" ref="Q498:Q545">O498+P498</f>
        <v>114573.02000000002</v>
      </c>
    </row>
    <row r="499" spans="1:17" ht="12.75">
      <c r="A499" s="12" t="s">
        <v>122</v>
      </c>
      <c r="B499" s="60"/>
      <c r="C499" s="100">
        <v>30200</v>
      </c>
      <c r="D499" s="75">
        <f>2423+1600-91</f>
        <v>3932</v>
      </c>
      <c r="E499" s="75"/>
      <c r="F499" s="144">
        <f t="shared" si="156"/>
        <v>34132</v>
      </c>
      <c r="G499" s="146">
        <f>-2871-1600+1250</f>
        <v>-3221</v>
      </c>
      <c r="H499" s="173"/>
      <c r="I499" s="186">
        <f>F499+G499+H499</f>
        <v>30911</v>
      </c>
      <c r="J499" s="229">
        <f>410-2110+400+600+1040</f>
        <v>340</v>
      </c>
      <c r="K499" s="257"/>
      <c r="L499" s="186">
        <f>I499+J499+K499</f>
        <v>31251</v>
      </c>
      <c r="M499" s="156">
        <f>-1765+602+996</f>
        <v>-167</v>
      </c>
      <c r="N499" s="257"/>
      <c r="O499" s="186">
        <f>L499+M499+N499</f>
        <v>31084</v>
      </c>
      <c r="P499" s="239"/>
      <c r="Q499" s="256">
        <f t="shared" si="159"/>
        <v>31084</v>
      </c>
    </row>
    <row r="500" spans="1:17" ht="13.5" customHeight="1">
      <c r="A500" s="12" t="s">
        <v>123</v>
      </c>
      <c r="B500" s="60"/>
      <c r="C500" s="100">
        <v>7300</v>
      </c>
      <c r="D500" s="75">
        <f>3362</f>
        <v>3362</v>
      </c>
      <c r="E500" s="75"/>
      <c r="F500" s="144">
        <f t="shared" si="156"/>
        <v>10662</v>
      </c>
      <c r="G500" s="146">
        <f>4779+7000+600</f>
        <v>12379</v>
      </c>
      <c r="H500" s="173"/>
      <c r="I500" s="186">
        <f>F500+G500+H500</f>
        <v>23041</v>
      </c>
      <c r="J500" s="229">
        <f>1100+2380+3500+1420+500</f>
        <v>8900</v>
      </c>
      <c r="K500" s="257"/>
      <c r="L500" s="186">
        <f>I500+J500+K500</f>
        <v>31941</v>
      </c>
      <c r="M500" s="156">
        <f>5000-7380-5000</f>
        <v>-7380</v>
      </c>
      <c r="N500" s="257"/>
      <c r="O500" s="186">
        <f>L500+M500+N500</f>
        <v>24561</v>
      </c>
      <c r="P500" s="239"/>
      <c r="Q500" s="256">
        <f t="shared" si="159"/>
        <v>24561</v>
      </c>
    </row>
    <row r="501" spans="1:17" ht="13.5" customHeight="1">
      <c r="A501" s="13" t="s">
        <v>143</v>
      </c>
      <c r="B501" s="60"/>
      <c r="C501" s="100">
        <v>4000</v>
      </c>
      <c r="D501" s="75">
        <f>700</f>
        <v>700</v>
      </c>
      <c r="E501" s="75"/>
      <c r="F501" s="144">
        <f t="shared" si="156"/>
        <v>4700</v>
      </c>
      <c r="G501" s="146">
        <f>-2800</f>
        <v>-2800</v>
      </c>
      <c r="H501" s="173"/>
      <c r="I501" s="186">
        <f>F501+G501+H501</f>
        <v>1900</v>
      </c>
      <c r="J501" s="229">
        <f>-364</f>
        <v>-364</v>
      </c>
      <c r="K501" s="257"/>
      <c r="L501" s="186">
        <f>I501+J501+K501</f>
        <v>1536</v>
      </c>
      <c r="M501" s="156"/>
      <c r="N501" s="257"/>
      <c r="O501" s="186">
        <f>L501+M501+N501</f>
        <v>1536</v>
      </c>
      <c r="P501" s="239"/>
      <c r="Q501" s="256">
        <f t="shared" si="159"/>
        <v>1536</v>
      </c>
    </row>
    <row r="502" spans="1:17" ht="12.75">
      <c r="A502" s="12" t="s">
        <v>124</v>
      </c>
      <c r="B502" s="60"/>
      <c r="C502" s="100">
        <v>2500</v>
      </c>
      <c r="D502" s="75">
        <f>-2500</f>
        <v>-2500</v>
      </c>
      <c r="E502" s="75"/>
      <c r="F502" s="144">
        <f t="shared" si="156"/>
        <v>0</v>
      </c>
      <c r="G502" s="146"/>
      <c r="H502" s="173"/>
      <c r="I502" s="186">
        <f>F502+G502+H502</f>
        <v>0</v>
      </c>
      <c r="J502" s="229"/>
      <c r="K502" s="257"/>
      <c r="L502" s="186">
        <f>I502+J502+K502</f>
        <v>0</v>
      </c>
      <c r="M502" s="156"/>
      <c r="N502" s="257"/>
      <c r="O502" s="186">
        <f>L502+M502+N502</f>
        <v>0</v>
      </c>
      <c r="P502" s="239"/>
      <c r="Q502" s="256">
        <f t="shared" si="159"/>
        <v>0</v>
      </c>
    </row>
    <row r="503" spans="1:17" ht="12.75">
      <c r="A503" s="12" t="s">
        <v>125</v>
      </c>
      <c r="B503" s="60">
        <v>15</v>
      </c>
      <c r="C503" s="100">
        <f>SUM(C504:C510)</f>
        <v>120000</v>
      </c>
      <c r="D503" s="75">
        <f aca="true" t="shared" si="160" ref="D503:Q503">SUM(D504:D510)</f>
        <v>331557.48</v>
      </c>
      <c r="E503" s="75">
        <f t="shared" si="160"/>
        <v>0</v>
      </c>
      <c r="F503" s="144">
        <f t="shared" si="160"/>
        <v>451557.48</v>
      </c>
      <c r="G503" s="146">
        <f t="shared" si="160"/>
        <v>0</v>
      </c>
      <c r="H503" s="173">
        <f t="shared" si="160"/>
        <v>0</v>
      </c>
      <c r="I503" s="186">
        <f t="shared" si="160"/>
        <v>451557.48</v>
      </c>
      <c r="J503" s="229">
        <f t="shared" si="160"/>
        <v>17500</v>
      </c>
      <c r="K503" s="257">
        <f t="shared" si="160"/>
        <v>0</v>
      </c>
      <c r="L503" s="186">
        <f t="shared" si="160"/>
        <v>469057.48</v>
      </c>
      <c r="M503" s="156">
        <f t="shared" si="160"/>
        <v>-5550</v>
      </c>
      <c r="N503" s="257">
        <f t="shared" si="160"/>
        <v>0</v>
      </c>
      <c r="O503" s="186">
        <f t="shared" si="160"/>
        <v>463507.48</v>
      </c>
      <c r="P503" s="229">
        <f t="shared" si="160"/>
        <v>0</v>
      </c>
      <c r="Q503" s="220">
        <f t="shared" si="160"/>
        <v>463507.48</v>
      </c>
    </row>
    <row r="504" spans="1:17" ht="12.75">
      <c r="A504" s="12" t="s">
        <v>126</v>
      </c>
      <c r="B504" s="60"/>
      <c r="C504" s="100">
        <v>88465</v>
      </c>
      <c r="D504" s="75">
        <f>289449.46</f>
        <v>289449.46</v>
      </c>
      <c r="E504" s="75"/>
      <c r="F504" s="144">
        <f t="shared" si="156"/>
        <v>377914.46</v>
      </c>
      <c r="G504" s="146">
        <f>1750+70</f>
        <v>1820</v>
      </c>
      <c r="H504" s="173"/>
      <c r="I504" s="186">
        <f aca="true" t="shared" si="161" ref="I504:I510">F504+G504+H504</f>
        <v>379734.46</v>
      </c>
      <c r="J504" s="229">
        <f>1200+17500</f>
        <v>18700</v>
      </c>
      <c r="K504" s="257"/>
      <c r="L504" s="186">
        <f aca="true" t="shared" si="162" ref="L504:L510">I504+J504+K504</f>
        <v>398434.46</v>
      </c>
      <c r="M504" s="156">
        <f>-1056.43-4308.99</f>
        <v>-5365.42</v>
      </c>
      <c r="N504" s="257"/>
      <c r="O504" s="186">
        <f aca="true" t="shared" si="163" ref="O504:O510">L504+M504+N504</f>
        <v>393069.04000000004</v>
      </c>
      <c r="P504" s="239"/>
      <c r="Q504" s="256">
        <f t="shared" si="159"/>
        <v>393069.04000000004</v>
      </c>
    </row>
    <row r="505" spans="1:17" ht="12.75" hidden="1">
      <c r="A505" s="12" t="s">
        <v>127</v>
      </c>
      <c r="B505" s="60"/>
      <c r="C505" s="100"/>
      <c r="D505" s="75"/>
      <c r="E505" s="75"/>
      <c r="F505" s="144">
        <f t="shared" si="156"/>
        <v>0</v>
      </c>
      <c r="G505" s="146"/>
      <c r="H505" s="173"/>
      <c r="I505" s="186">
        <f t="shared" si="161"/>
        <v>0</v>
      </c>
      <c r="J505" s="229"/>
      <c r="K505" s="257"/>
      <c r="L505" s="186">
        <f t="shared" si="162"/>
        <v>0</v>
      </c>
      <c r="M505" s="156"/>
      <c r="N505" s="257"/>
      <c r="O505" s="186">
        <f t="shared" si="163"/>
        <v>0</v>
      </c>
      <c r="P505" s="239"/>
      <c r="Q505" s="256">
        <f t="shared" si="159"/>
        <v>0</v>
      </c>
    </row>
    <row r="506" spans="1:17" ht="12.75" hidden="1">
      <c r="A506" s="12" t="s">
        <v>128</v>
      </c>
      <c r="B506" s="60"/>
      <c r="C506" s="100"/>
      <c r="D506" s="81"/>
      <c r="E506" s="81"/>
      <c r="F506" s="144">
        <f t="shared" si="156"/>
        <v>0</v>
      </c>
      <c r="G506" s="146"/>
      <c r="H506" s="173"/>
      <c r="I506" s="186">
        <f t="shared" si="161"/>
        <v>0</v>
      </c>
      <c r="J506" s="229"/>
      <c r="K506" s="257"/>
      <c r="L506" s="186">
        <f t="shared" si="162"/>
        <v>0</v>
      </c>
      <c r="M506" s="156"/>
      <c r="N506" s="257"/>
      <c r="O506" s="186">
        <f t="shared" si="163"/>
        <v>0</v>
      </c>
      <c r="P506" s="239"/>
      <c r="Q506" s="256">
        <f t="shared" si="159"/>
        <v>0</v>
      </c>
    </row>
    <row r="507" spans="1:17" ht="12.75">
      <c r="A507" s="12" t="s">
        <v>129</v>
      </c>
      <c r="B507" s="60"/>
      <c r="C507" s="100">
        <v>17400</v>
      </c>
      <c r="D507" s="75">
        <f>20901.1</f>
        <v>20901.1</v>
      </c>
      <c r="E507" s="75"/>
      <c r="F507" s="144">
        <f t="shared" si="156"/>
        <v>38301.1</v>
      </c>
      <c r="G507" s="146"/>
      <c r="H507" s="173"/>
      <c r="I507" s="186">
        <f t="shared" si="161"/>
        <v>38301.1</v>
      </c>
      <c r="J507" s="229"/>
      <c r="K507" s="257"/>
      <c r="L507" s="186">
        <f t="shared" si="162"/>
        <v>38301.1</v>
      </c>
      <c r="M507" s="156"/>
      <c r="N507" s="257"/>
      <c r="O507" s="186">
        <f t="shared" si="163"/>
        <v>38301.1</v>
      </c>
      <c r="P507" s="239"/>
      <c r="Q507" s="256">
        <f t="shared" si="159"/>
        <v>38301.1</v>
      </c>
    </row>
    <row r="508" spans="1:17" ht="12.75">
      <c r="A508" s="12" t="s">
        <v>130</v>
      </c>
      <c r="B508" s="60"/>
      <c r="C508" s="100">
        <v>2600</v>
      </c>
      <c r="D508" s="75">
        <f>5094.91+300</f>
        <v>5394.91</v>
      </c>
      <c r="E508" s="75"/>
      <c r="F508" s="144">
        <f t="shared" si="156"/>
        <v>7994.91</v>
      </c>
      <c r="G508" s="146"/>
      <c r="H508" s="173"/>
      <c r="I508" s="186">
        <f t="shared" si="161"/>
        <v>7994.91</v>
      </c>
      <c r="J508" s="241"/>
      <c r="K508" s="257"/>
      <c r="L508" s="186">
        <f t="shared" si="162"/>
        <v>7994.91</v>
      </c>
      <c r="M508" s="156"/>
      <c r="N508" s="257"/>
      <c r="O508" s="186">
        <f t="shared" si="163"/>
        <v>7994.91</v>
      </c>
      <c r="P508" s="239"/>
      <c r="Q508" s="256">
        <f t="shared" si="159"/>
        <v>7994.91</v>
      </c>
    </row>
    <row r="509" spans="1:17" ht="12.75">
      <c r="A509" s="12" t="s">
        <v>131</v>
      </c>
      <c r="B509" s="60"/>
      <c r="C509" s="100">
        <v>6700</v>
      </c>
      <c r="D509" s="75">
        <f>10991.14</f>
        <v>10991.14</v>
      </c>
      <c r="E509" s="75"/>
      <c r="F509" s="144">
        <f t="shared" si="156"/>
        <v>17691.14</v>
      </c>
      <c r="G509" s="146">
        <f>-1000</f>
        <v>-1000</v>
      </c>
      <c r="H509" s="173"/>
      <c r="I509" s="186">
        <f t="shared" si="161"/>
        <v>16691.14</v>
      </c>
      <c r="J509" s="229">
        <f>1800-850</f>
        <v>950</v>
      </c>
      <c r="K509" s="257"/>
      <c r="L509" s="186">
        <f t="shared" si="162"/>
        <v>17641.14</v>
      </c>
      <c r="M509" s="156">
        <f>-331.64+550</f>
        <v>218.36</v>
      </c>
      <c r="N509" s="257"/>
      <c r="O509" s="186">
        <f t="shared" si="163"/>
        <v>17859.5</v>
      </c>
      <c r="P509" s="239"/>
      <c r="Q509" s="256">
        <f t="shared" si="159"/>
        <v>17859.5</v>
      </c>
    </row>
    <row r="510" spans="1:17" ht="12.75">
      <c r="A510" s="12" t="s">
        <v>124</v>
      </c>
      <c r="B510" s="60"/>
      <c r="C510" s="100">
        <v>4835</v>
      </c>
      <c r="D510" s="75">
        <f>4820.87</f>
        <v>4820.87</v>
      </c>
      <c r="E510" s="75"/>
      <c r="F510" s="144">
        <f t="shared" si="156"/>
        <v>9655.869999999999</v>
      </c>
      <c r="G510" s="146">
        <f>-750-70</f>
        <v>-820</v>
      </c>
      <c r="H510" s="173"/>
      <c r="I510" s="186">
        <f t="shared" si="161"/>
        <v>8835.869999999999</v>
      </c>
      <c r="J510" s="229">
        <f>-1800-350</f>
        <v>-2150</v>
      </c>
      <c r="K510" s="257"/>
      <c r="L510" s="186">
        <f t="shared" si="162"/>
        <v>6685.869999999999</v>
      </c>
      <c r="M510" s="156">
        <f>-5043.57+4640.63</f>
        <v>-402.9399999999996</v>
      </c>
      <c r="N510" s="257"/>
      <c r="O510" s="186">
        <f t="shared" si="163"/>
        <v>6282.929999999999</v>
      </c>
      <c r="P510" s="239"/>
      <c r="Q510" s="256">
        <f t="shared" si="159"/>
        <v>6282.929999999999</v>
      </c>
    </row>
    <row r="511" spans="1:17" ht="12.75">
      <c r="A511" s="12" t="s">
        <v>132</v>
      </c>
      <c r="B511" s="60">
        <v>16</v>
      </c>
      <c r="C511" s="100">
        <f aca="true" t="shared" si="164" ref="C511:Q511">SUM(C512:C516)</f>
        <v>18000</v>
      </c>
      <c r="D511" s="75">
        <f t="shared" si="164"/>
        <v>22645.31</v>
      </c>
      <c r="E511" s="75">
        <f t="shared" si="164"/>
        <v>0</v>
      </c>
      <c r="F511" s="144">
        <f t="shared" si="164"/>
        <v>40645.31</v>
      </c>
      <c r="G511" s="146">
        <f t="shared" si="164"/>
        <v>0</v>
      </c>
      <c r="H511" s="173">
        <f t="shared" si="164"/>
        <v>0</v>
      </c>
      <c r="I511" s="186">
        <f t="shared" si="164"/>
        <v>40645.31</v>
      </c>
      <c r="J511" s="229">
        <f t="shared" si="164"/>
        <v>40</v>
      </c>
      <c r="K511" s="257">
        <f t="shared" si="164"/>
        <v>0</v>
      </c>
      <c r="L511" s="186">
        <f t="shared" si="164"/>
        <v>40685.31</v>
      </c>
      <c r="M511" s="156">
        <f t="shared" si="164"/>
        <v>0</v>
      </c>
      <c r="N511" s="257">
        <f t="shared" si="164"/>
        <v>0</v>
      </c>
      <c r="O511" s="186">
        <f t="shared" si="164"/>
        <v>40685.310000000005</v>
      </c>
      <c r="P511" s="229">
        <f t="shared" si="164"/>
        <v>0</v>
      </c>
      <c r="Q511" s="220">
        <f t="shared" si="164"/>
        <v>40685.310000000005</v>
      </c>
    </row>
    <row r="512" spans="1:17" ht="12.75">
      <c r="A512" s="12" t="s">
        <v>121</v>
      </c>
      <c r="B512" s="60"/>
      <c r="C512" s="100">
        <v>2650</v>
      </c>
      <c r="D512" s="75">
        <f>468.35-300</f>
        <v>168.35000000000002</v>
      </c>
      <c r="E512" s="75"/>
      <c r="F512" s="144">
        <f t="shared" si="156"/>
        <v>2818.35</v>
      </c>
      <c r="G512" s="146"/>
      <c r="H512" s="173"/>
      <c r="I512" s="186">
        <f>F512+G512+H512</f>
        <v>2818.35</v>
      </c>
      <c r="J512" s="229">
        <f>390</f>
        <v>390</v>
      </c>
      <c r="K512" s="257"/>
      <c r="L512" s="186">
        <f>I512+J512+K512</f>
        <v>3208.35</v>
      </c>
      <c r="M512" s="156">
        <f>1400-200</f>
        <v>1200</v>
      </c>
      <c r="N512" s="257"/>
      <c r="O512" s="186">
        <f>L512+M512+N512</f>
        <v>4408.35</v>
      </c>
      <c r="P512" s="239"/>
      <c r="Q512" s="256">
        <f t="shared" si="159"/>
        <v>4408.35</v>
      </c>
    </row>
    <row r="513" spans="1:17" ht="12.75">
      <c r="A513" s="12" t="s">
        <v>122</v>
      </c>
      <c r="B513" s="60"/>
      <c r="C513" s="100">
        <v>300</v>
      </c>
      <c r="D513" s="75">
        <f>439.92</f>
        <v>439.92</v>
      </c>
      <c r="E513" s="75"/>
      <c r="F513" s="144">
        <f t="shared" si="156"/>
        <v>739.9200000000001</v>
      </c>
      <c r="G513" s="146"/>
      <c r="H513" s="173"/>
      <c r="I513" s="186">
        <f>F513+G513+H513</f>
        <v>739.9200000000001</v>
      </c>
      <c r="J513" s="229">
        <f>-100</f>
        <v>-100</v>
      </c>
      <c r="K513" s="257"/>
      <c r="L513" s="186">
        <f>I513+J513+K513</f>
        <v>639.9200000000001</v>
      </c>
      <c r="M513" s="156">
        <v>200</v>
      </c>
      <c r="N513" s="257"/>
      <c r="O513" s="186">
        <f>L513+M513+N513</f>
        <v>839.9200000000001</v>
      </c>
      <c r="P513" s="239"/>
      <c r="Q513" s="256">
        <f t="shared" si="159"/>
        <v>839.9200000000001</v>
      </c>
    </row>
    <row r="514" spans="1:17" ht="12.75">
      <c r="A514" s="12" t="s">
        <v>123</v>
      </c>
      <c r="B514" s="60"/>
      <c r="C514" s="100">
        <v>15000</v>
      </c>
      <c r="D514" s="75">
        <f>21384+300</f>
        <v>21684</v>
      </c>
      <c r="E514" s="75"/>
      <c r="F514" s="144">
        <f t="shared" si="156"/>
        <v>36684</v>
      </c>
      <c r="G514" s="146"/>
      <c r="H514" s="173"/>
      <c r="I514" s="186">
        <f>F514+G514+H514</f>
        <v>36684</v>
      </c>
      <c r="J514" s="229"/>
      <c r="K514" s="257"/>
      <c r="L514" s="186">
        <f>I514+J514+K514</f>
        <v>36684</v>
      </c>
      <c r="M514" s="156">
        <v>-1400</v>
      </c>
      <c r="N514" s="257"/>
      <c r="O514" s="186">
        <f>L514+M514+N514</f>
        <v>35284</v>
      </c>
      <c r="P514" s="239"/>
      <c r="Q514" s="256">
        <f t="shared" si="159"/>
        <v>35284</v>
      </c>
    </row>
    <row r="515" spans="1:17" ht="12.75">
      <c r="A515" s="12" t="s">
        <v>131</v>
      </c>
      <c r="B515" s="60"/>
      <c r="C515" s="100"/>
      <c r="D515" s="75"/>
      <c r="E515" s="75"/>
      <c r="F515" s="144"/>
      <c r="G515" s="146"/>
      <c r="H515" s="173"/>
      <c r="I515" s="186">
        <f>F515+G515+H515</f>
        <v>0</v>
      </c>
      <c r="J515" s="229">
        <f>40</f>
        <v>40</v>
      </c>
      <c r="K515" s="257"/>
      <c r="L515" s="186">
        <f>I515+J515+K515</f>
        <v>40</v>
      </c>
      <c r="M515" s="156"/>
      <c r="N515" s="257"/>
      <c r="O515" s="186">
        <f>L515+M515+N515</f>
        <v>40</v>
      </c>
      <c r="P515" s="239"/>
      <c r="Q515" s="256">
        <f t="shared" si="159"/>
        <v>40</v>
      </c>
    </row>
    <row r="516" spans="1:17" ht="12.75">
      <c r="A516" s="21" t="s">
        <v>124</v>
      </c>
      <c r="B516" s="63"/>
      <c r="C516" s="118">
        <v>50</v>
      </c>
      <c r="D516" s="79">
        <f>353.04</f>
        <v>353.04</v>
      </c>
      <c r="E516" s="79"/>
      <c r="F516" s="97">
        <f t="shared" si="156"/>
        <v>403.04</v>
      </c>
      <c r="G516" s="152"/>
      <c r="H516" s="178"/>
      <c r="I516" s="191">
        <f>F516+G516+H516</f>
        <v>403.04</v>
      </c>
      <c r="J516" s="245">
        <f>-290</f>
        <v>-290</v>
      </c>
      <c r="K516" s="261"/>
      <c r="L516" s="191">
        <f>I516+J516+K516</f>
        <v>113.04000000000002</v>
      </c>
      <c r="M516" s="300"/>
      <c r="N516" s="261"/>
      <c r="O516" s="191">
        <f>L516+M516+N516</f>
        <v>113.04000000000002</v>
      </c>
      <c r="P516" s="239"/>
      <c r="Q516" s="256">
        <f t="shared" si="159"/>
        <v>113.04000000000002</v>
      </c>
    </row>
    <row r="517" spans="1:17" ht="12.75">
      <c r="A517" s="12" t="s">
        <v>112</v>
      </c>
      <c r="B517" s="60">
        <v>18</v>
      </c>
      <c r="C517" s="100">
        <f>C518+C519</f>
        <v>0</v>
      </c>
      <c r="D517" s="75">
        <f>D518+D519</f>
        <v>0</v>
      </c>
      <c r="E517" s="75">
        <f>E518+E519</f>
        <v>0</v>
      </c>
      <c r="F517" s="144">
        <f>F518+F519</f>
        <v>0</v>
      </c>
      <c r="G517" s="144">
        <f aca="true" t="shared" si="165" ref="G517:Q517">G518+G519</f>
        <v>0</v>
      </c>
      <c r="H517" s="144">
        <f t="shared" si="165"/>
        <v>0</v>
      </c>
      <c r="I517" s="186">
        <f t="shared" si="165"/>
        <v>0</v>
      </c>
      <c r="J517" s="229">
        <f t="shared" si="165"/>
        <v>1635</v>
      </c>
      <c r="K517" s="257">
        <f t="shared" si="165"/>
        <v>0</v>
      </c>
      <c r="L517" s="186">
        <f t="shared" si="165"/>
        <v>1635</v>
      </c>
      <c r="M517" s="156">
        <f t="shared" si="165"/>
        <v>0</v>
      </c>
      <c r="N517" s="257">
        <f t="shared" si="165"/>
        <v>0</v>
      </c>
      <c r="O517" s="186">
        <f t="shared" si="165"/>
        <v>1635</v>
      </c>
      <c r="P517" s="229">
        <f t="shared" si="165"/>
        <v>0</v>
      </c>
      <c r="Q517" s="220">
        <f t="shared" si="165"/>
        <v>1635</v>
      </c>
    </row>
    <row r="518" spans="1:17" ht="12.75">
      <c r="A518" s="12" t="s">
        <v>113</v>
      </c>
      <c r="B518" s="60"/>
      <c r="C518" s="100"/>
      <c r="D518" s="75">
        <f>1000-1000</f>
        <v>0</v>
      </c>
      <c r="E518" s="75"/>
      <c r="F518" s="144">
        <f>C518+D518+E518</f>
        <v>0</v>
      </c>
      <c r="G518" s="146"/>
      <c r="H518" s="173"/>
      <c r="I518" s="186">
        <f>F518+G518+H518</f>
        <v>0</v>
      </c>
      <c r="J518" s="229">
        <f>1635</f>
        <v>1635</v>
      </c>
      <c r="K518" s="257"/>
      <c r="L518" s="186">
        <f>I518+J518+K518</f>
        <v>1635</v>
      </c>
      <c r="M518" s="156"/>
      <c r="N518" s="257"/>
      <c r="O518" s="186">
        <f>L518+M518+N518</f>
        <v>1635</v>
      </c>
      <c r="P518" s="239"/>
      <c r="Q518" s="256">
        <f t="shared" si="159"/>
        <v>1635</v>
      </c>
    </row>
    <row r="519" spans="1:17" ht="12.75" hidden="1">
      <c r="A519" s="12" t="s">
        <v>114</v>
      </c>
      <c r="B519" s="60"/>
      <c r="C519" s="100"/>
      <c r="D519" s="75"/>
      <c r="E519" s="75"/>
      <c r="F519" s="144">
        <f>C519+D519+E519</f>
        <v>0</v>
      </c>
      <c r="G519" s="146"/>
      <c r="H519" s="173"/>
      <c r="I519" s="186">
        <f>F519+G519+H519</f>
        <v>0</v>
      </c>
      <c r="J519" s="229"/>
      <c r="K519" s="257"/>
      <c r="L519" s="186">
        <f>I519+J519+K519</f>
        <v>0</v>
      </c>
      <c r="M519" s="156"/>
      <c r="N519" s="257"/>
      <c r="O519" s="186"/>
      <c r="P519" s="239"/>
      <c r="Q519" s="256"/>
    </row>
    <row r="520" spans="1:17" ht="12.75">
      <c r="A520" s="61" t="s">
        <v>277</v>
      </c>
      <c r="B520" s="60">
        <v>19</v>
      </c>
      <c r="C520" s="100">
        <f aca="true" t="shared" si="166" ref="C520:Q520">C521+C522</f>
        <v>32371</v>
      </c>
      <c r="D520" s="144">
        <f t="shared" si="166"/>
        <v>16917.16</v>
      </c>
      <c r="E520" s="112">
        <f t="shared" si="166"/>
        <v>0</v>
      </c>
      <c r="F520" s="144">
        <f t="shared" si="166"/>
        <v>49288.16</v>
      </c>
      <c r="G520" s="156">
        <f t="shared" si="166"/>
        <v>3519</v>
      </c>
      <c r="H520" s="173">
        <f t="shared" si="166"/>
        <v>0</v>
      </c>
      <c r="I520" s="186">
        <f t="shared" si="166"/>
        <v>52807.16</v>
      </c>
      <c r="J520" s="229">
        <f t="shared" si="166"/>
        <v>0</v>
      </c>
      <c r="K520" s="257">
        <f t="shared" si="166"/>
        <v>0</v>
      </c>
      <c r="L520" s="186">
        <f t="shared" si="166"/>
        <v>52807.16</v>
      </c>
      <c r="M520" s="156">
        <f t="shared" si="166"/>
        <v>0</v>
      </c>
      <c r="N520" s="257">
        <f t="shared" si="166"/>
        <v>0</v>
      </c>
      <c r="O520" s="186">
        <f t="shared" si="166"/>
        <v>52807.16</v>
      </c>
      <c r="P520" s="229">
        <f t="shared" si="166"/>
        <v>0</v>
      </c>
      <c r="Q520" s="220">
        <f t="shared" si="166"/>
        <v>52807.16</v>
      </c>
    </row>
    <row r="521" spans="1:17" ht="12.75">
      <c r="A521" s="12" t="s">
        <v>113</v>
      </c>
      <c r="B521" s="60"/>
      <c r="C521" s="100">
        <v>32371</v>
      </c>
      <c r="D521" s="75">
        <f>13229.22+160+3100</f>
        <v>16489.22</v>
      </c>
      <c r="E521" s="75"/>
      <c r="F521" s="144">
        <f>C521+D521+E521</f>
        <v>48860.22</v>
      </c>
      <c r="G521" s="146">
        <f>3519</f>
        <v>3519</v>
      </c>
      <c r="H521" s="173"/>
      <c r="I521" s="186">
        <f>F521+G521+H521</f>
        <v>52379.22</v>
      </c>
      <c r="J521" s="229">
        <v>300</v>
      </c>
      <c r="K521" s="257"/>
      <c r="L521" s="186">
        <f>I521+J521+K521</f>
        <v>52679.22</v>
      </c>
      <c r="M521" s="156"/>
      <c r="N521" s="257"/>
      <c r="O521" s="186">
        <f>L521+M521+N521</f>
        <v>52679.22</v>
      </c>
      <c r="P521" s="239"/>
      <c r="Q521" s="256">
        <f t="shared" si="159"/>
        <v>52679.22</v>
      </c>
    </row>
    <row r="522" spans="1:17" ht="12.75">
      <c r="A522" s="12" t="s">
        <v>114</v>
      </c>
      <c r="B522" s="60"/>
      <c r="C522" s="100"/>
      <c r="D522" s="75">
        <f>427.94</f>
        <v>427.94</v>
      </c>
      <c r="E522" s="75"/>
      <c r="F522" s="144">
        <f>C522+D522+E522</f>
        <v>427.94</v>
      </c>
      <c r="G522" s="146"/>
      <c r="H522" s="173"/>
      <c r="I522" s="186">
        <f>F522+G522+H522</f>
        <v>427.94</v>
      </c>
      <c r="J522" s="229">
        <v>-300</v>
      </c>
      <c r="K522" s="257"/>
      <c r="L522" s="186">
        <f>I522+J522+K522</f>
        <v>127.94</v>
      </c>
      <c r="M522" s="156"/>
      <c r="N522" s="257"/>
      <c r="O522" s="186">
        <f>L522+M522+N522</f>
        <v>127.94</v>
      </c>
      <c r="P522" s="239"/>
      <c r="Q522" s="256">
        <f t="shared" si="159"/>
        <v>127.94</v>
      </c>
    </row>
    <row r="523" spans="1:17" ht="12.75">
      <c r="A523" s="12" t="s">
        <v>133</v>
      </c>
      <c r="B523" s="60">
        <v>28</v>
      </c>
      <c r="C523" s="100">
        <f>SUM(C524:C528)</f>
        <v>50000</v>
      </c>
      <c r="D523" s="75">
        <f aca="true" t="shared" si="167" ref="D523:Q523">SUM(D524:D528)</f>
        <v>63812.28999999999</v>
      </c>
      <c r="E523" s="75">
        <f t="shared" si="167"/>
        <v>0</v>
      </c>
      <c r="F523" s="144">
        <f t="shared" si="167"/>
        <v>113812.29</v>
      </c>
      <c r="G523" s="146">
        <f t="shared" si="167"/>
        <v>-4980</v>
      </c>
      <c r="H523" s="173">
        <f t="shared" si="167"/>
        <v>0</v>
      </c>
      <c r="I523" s="186">
        <f t="shared" si="167"/>
        <v>108832.29</v>
      </c>
      <c r="J523" s="229">
        <f t="shared" si="167"/>
        <v>0</v>
      </c>
      <c r="K523" s="257">
        <f t="shared" si="167"/>
        <v>0</v>
      </c>
      <c r="L523" s="186">
        <f t="shared" si="167"/>
        <v>108832.29</v>
      </c>
      <c r="M523" s="156">
        <f t="shared" si="167"/>
        <v>0</v>
      </c>
      <c r="N523" s="257">
        <f t="shared" si="167"/>
        <v>0</v>
      </c>
      <c r="O523" s="186">
        <f t="shared" si="167"/>
        <v>108832.29</v>
      </c>
      <c r="P523" s="229">
        <f t="shared" si="167"/>
        <v>0</v>
      </c>
      <c r="Q523" s="220">
        <f t="shared" si="167"/>
        <v>108832.29</v>
      </c>
    </row>
    <row r="524" spans="1:17" ht="12.75">
      <c r="A524" s="12" t="s">
        <v>121</v>
      </c>
      <c r="B524" s="60"/>
      <c r="C524" s="100">
        <v>12740</v>
      </c>
      <c r="D524" s="75">
        <f>4138.82+650</f>
        <v>4788.82</v>
      </c>
      <c r="E524" s="75"/>
      <c r="F524" s="144">
        <f t="shared" si="156"/>
        <v>17528.82</v>
      </c>
      <c r="G524" s="146">
        <f>1438</f>
        <v>1438</v>
      </c>
      <c r="H524" s="173"/>
      <c r="I524" s="186">
        <f>F524+G524+H524</f>
        <v>18966.82</v>
      </c>
      <c r="J524" s="229">
        <f>300+1525</f>
        <v>1825</v>
      </c>
      <c r="K524" s="257"/>
      <c r="L524" s="186">
        <f>I524+J524+K524</f>
        <v>20791.82</v>
      </c>
      <c r="M524" s="156">
        <f>100+200-129</f>
        <v>171</v>
      </c>
      <c r="N524" s="257"/>
      <c r="O524" s="186">
        <f>L524+M524+N524</f>
        <v>20962.82</v>
      </c>
      <c r="P524" s="239"/>
      <c r="Q524" s="256">
        <f t="shared" si="159"/>
        <v>20962.82</v>
      </c>
    </row>
    <row r="525" spans="1:17" ht="12.75">
      <c r="A525" s="12" t="s">
        <v>122</v>
      </c>
      <c r="B525" s="60"/>
      <c r="C525" s="100">
        <v>3200</v>
      </c>
      <c r="D525" s="75">
        <f>-300</f>
        <v>-300</v>
      </c>
      <c r="E525" s="75"/>
      <c r="F525" s="144">
        <f t="shared" si="156"/>
        <v>2900</v>
      </c>
      <c r="G525" s="146"/>
      <c r="H525" s="173"/>
      <c r="I525" s="186">
        <f>F525+G525+H525</f>
        <v>2900</v>
      </c>
      <c r="J525" s="229">
        <f>700+500</f>
        <v>1200</v>
      </c>
      <c r="K525" s="257"/>
      <c r="L525" s="186">
        <f>I525+J525+K525</f>
        <v>4100</v>
      </c>
      <c r="M525" s="156">
        <f>129</f>
        <v>129</v>
      </c>
      <c r="N525" s="257"/>
      <c r="O525" s="186">
        <f>L525+M525+N525</f>
        <v>4229</v>
      </c>
      <c r="P525" s="239"/>
      <c r="Q525" s="256">
        <f t="shared" si="159"/>
        <v>4229</v>
      </c>
    </row>
    <row r="526" spans="1:17" ht="12.75">
      <c r="A526" s="12" t="s">
        <v>134</v>
      </c>
      <c r="B526" s="60"/>
      <c r="C526" s="100">
        <v>28600</v>
      </c>
      <c r="D526" s="75">
        <f>58822.27-3350</f>
        <v>55472.27</v>
      </c>
      <c r="E526" s="75"/>
      <c r="F526" s="144">
        <f t="shared" si="156"/>
        <v>84072.26999999999</v>
      </c>
      <c r="G526" s="146">
        <f>-4180</f>
        <v>-4180</v>
      </c>
      <c r="H526" s="173"/>
      <c r="I526" s="186">
        <f>F526+G526+H526</f>
        <v>79892.26999999999</v>
      </c>
      <c r="J526" s="229">
        <f>-430-1525-500</f>
        <v>-2455</v>
      </c>
      <c r="K526" s="257"/>
      <c r="L526" s="186">
        <f>I526+J526+K526</f>
        <v>77437.26999999999</v>
      </c>
      <c r="M526" s="156">
        <f>-100-200</f>
        <v>-300</v>
      </c>
      <c r="N526" s="257"/>
      <c r="O526" s="186">
        <f>L526+M526+N526</f>
        <v>77137.26999999999</v>
      </c>
      <c r="P526" s="239"/>
      <c r="Q526" s="256">
        <f t="shared" si="159"/>
        <v>77137.26999999999</v>
      </c>
    </row>
    <row r="527" spans="1:17" ht="12.75">
      <c r="A527" s="12" t="s">
        <v>131</v>
      </c>
      <c r="B527" s="60"/>
      <c r="C527" s="100"/>
      <c r="D527" s="75">
        <f>3503.2+3000</f>
        <v>6503.2</v>
      </c>
      <c r="E527" s="75"/>
      <c r="F527" s="144">
        <f t="shared" si="156"/>
        <v>6503.2</v>
      </c>
      <c r="G527" s="146"/>
      <c r="H527" s="173"/>
      <c r="I527" s="186">
        <f>F527+G527+H527</f>
        <v>6503.2</v>
      </c>
      <c r="J527" s="229"/>
      <c r="K527" s="257"/>
      <c r="L527" s="186">
        <f>I527+J527+K527</f>
        <v>6503.2</v>
      </c>
      <c r="M527" s="156"/>
      <c r="N527" s="257"/>
      <c r="O527" s="186">
        <f>L527+M527+N527</f>
        <v>6503.2</v>
      </c>
      <c r="P527" s="239"/>
      <c r="Q527" s="256">
        <f t="shared" si="159"/>
        <v>6503.2</v>
      </c>
    </row>
    <row r="528" spans="1:17" ht="12.75">
      <c r="A528" s="12" t="s">
        <v>124</v>
      </c>
      <c r="B528" s="60"/>
      <c r="C528" s="100">
        <v>5460</v>
      </c>
      <c r="D528" s="81">
        <f>948-3600</f>
        <v>-2652</v>
      </c>
      <c r="E528" s="75"/>
      <c r="F528" s="144">
        <f t="shared" si="156"/>
        <v>2808</v>
      </c>
      <c r="G528" s="146">
        <f>-1438-800</f>
        <v>-2238</v>
      </c>
      <c r="H528" s="173"/>
      <c r="I528" s="186">
        <f>F528+G528+H528</f>
        <v>570</v>
      </c>
      <c r="J528" s="229">
        <f>-570</f>
        <v>-570</v>
      </c>
      <c r="K528" s="257"/>
      <c r="L528" s="186">
        <f>I528+J528+K528</f>
        <v>0</v>
      </c>
      <c r="M528" s="156"/>
      <c r="N528" s="257"/>
      <c r="O528" s="186">
        <f>L528+M528+N528</f>
        <v>0</v>
      </c>
      <c r="P528" s="239"/>
      <c r="Q528" s="256">
        <f t="shared" si="159"/>
        <v>0</v>
      </c>
    </row>
    <row r="529" spans="1:17" ht="12.75">
      <c r="A529" s="13" t="s">
        <v>135</v>
      </c>
      <c r="B529" s="60"/>
      <c r="C529" s="100">
        <f>C530+C531</f>
        <v>2</v>
      </c>
      <c r="D529" s="75">
        <f aca="true" t="shared" si="168" ref="D529:Q529">D530+D531</f>
        <v>4840.35</v>
      </c>
      <c r="E529" s="75">
        <f t="shared" si="168"/>
        <v>0</v>
      </c>
      <c r="F529" s="144">
        <f t="shared" si="168"/>
        <v>4842.35</v>
      </c>
      <c r="G529" s="146">
        <f t="shared" si="168"/>
        <v>301.37</v>
      </c>
      <c r="H529" s="173">
        <f t="shared" si="168"/>
        <v>0</v>
      </c>
      <c r="I529" s="186">
        <f t="shared" si="168"/>
        <v>5143.72</v>
      </c>
      <c r="J529" s="229">
        <f t="shared" si="168"/>
        <v>0</v>
      </c>
      <c r="K529" s="257">
        <f t="shared" si="168"/>
        <v>0</v>
      </c>
      <c r="L529" s="186">
        <f t="shared" si="168"/>
        <v>5143.72</v>
      </c>
      <c r="M529" s="156">
        <f t="shared" si="168"/>
        <v>0</v>
      </c>
      <c r="N529" s="257">
        <f t="shared" si="168"/>
        <v>0</v>
      </c>
      <c r="O529" s="186">
        <f t="shared" si="168"/>
        <v>5143.72</v>
      </c>
      <c r="P529" s="229">
        <f t="shared" si="168"/>
        <v>0</v>
      </c>
      <c r="Q529" s="220">
        <f t="shared" si="168"/>
        <v>5143.72</v>
      </c>
    </row>
    <row r="530" spans="1:17" ht="12.75">
      <c r="A530" s="13" t="s">
        <v>256</v>
      </c>
      <c r="B530" s="60"/>
      <c r="C530" s="100"/>
      <c r="D530" s="75">
        <f>100</f>
        <v>100</v>
      </c>
      <c r="E530" s="75"/>
      <c r="F530" s="144">
        <f t="shared" si="156"/>
        <v>100</v>
      </c>
      <c r="G530" s="146">
        <f>33.72</f>
        <v>33.72</v>
      </c>
      <c r="H530" s="173"/>
      <c r="I530" s="186">
        <f>F530+G530+H530</f>
        <v>133.72</v>
      </c>
      <c r="J530" s="229"/>
      <c r="K530" s="257"/>
      <c r="L530" s="186">
        <f>I530+J530+K530</f>
        <v>133.72</v>
      </c>
      <c r="M530" s="156"/>
      <c r="N530" s="257"/>
      <c r="O530" s="186">
        <f>L530+M530+N530</f>
        <v>133.72</v>
      </c>
      <c r="P530" s="239"/>
      <c r="Q530" s="256">
        <f t="shared" si="159"/>
        <v>133.72</v>
      </c>
    </row>
    <row r="531" spans="1:17" ht="12.75">
      <c r="A531" s="16" t="s">
        <v>321</v>
      </c>
      <c r="B531" s="63"/>
      <c r="C531" s="118">
        <v>2</v>
      </c>
      <c r="D531" s="79">
        <f>4740.35</f>
        <v>4740.35</v>
      </c>
      <c r="E531" s="79"/>
      <c r="F531" s="97">
        <f t="shared" si="156"/>
        <v>4742.35</v>
      </c>
      <c r="G531" s="152">
        <f>267.65</f>
        <v>267.65</v>
      </c>
      <c r="H531" s="178"/>
      <c r="I531" s="191">
        <f>F531+G531+H531</f>
        <v>5010</v>
      </c>
      <c r="J531" s="245">
        <f>-4500-40+4540</f>
        <v>0</v>
      </c>
      <c r="K531" s="261"/>
      <c r="L531" s="186">
        <f>I531+J531+K531</f>
        <v>5010</v>
      </c>
      <c r="M531" s="152">
        <f>-550+550</f>
        <v>0</v>
      </c>
      <c r="N531" s="261"/>
      <c r="O531" s="191">
        <f>L531+M531+N531</f>
        <v>5010</v>
      </c>
      <c r="P531" s="262"/>
      <c r="Q531" s="263">
        <f t="shared" si="159"/>
        <v>5010</v>
      </c>
    </row>
    <row r="532" spans="1:17" ht="13.5" thickBot="1">
      <c r="A532" s="27" t="s">
        <v>136</v>
      </c>
      <c r="B532" s="64"/>
      <c r="C532" s="96">
        <v>7650.62</v>
      </c>
      <c r="D532" s="75">
        <f>325.01+61.36</f>
        <v>386.37</v>
      </c>
      <c r="E532" s="76"/>
      <c r="F532" s="139">
        <f t="shared" si="156"/>
        <v>8036.99</v>
      </c>
      <c r="G532" s="146">
        <f>8.77+944.49</f>
        <v>953.26</v>
      </c>
      <c r="H532" s="155"/>
      <c r="I532" s="194">
        <f>F532+G532+H532</f>
        <v>8990.25</v>
      </c>
      <c r="J532" s="240">
        <f>4.2</f>
        <v>4.2</v>
      </c>
      <c r="K532" s="260"/>
      <c r="L532" s="306">
        <f>SUM(I532:K532)</f>
        <v>8994.45</v>
      </c>
      <c r="M532" s="296"/>
      <c r="N532" s="260"/>
      <c r="O532" s="187">
        <f>SUM(L532:N532)</f>
        <v>8994.45</v>
      </c>
      <c r="P532" s="240"/>
      <c r="Q532" s="222">
        <f>O532+P532</f>
        <v>8994.45</v>
      </c>
    </row>
    <row r="533" spans="1:17" ht="15.75" thickBot="1">
      <c r="A533" s="28" t="s">
        <v>137</v>
      </c>
      <c r="B533" s="67"/>
      <c r="C533" s="103">
        <f aca="true" t="shared" si="169" ref="C533:Q533">+C93+C113+C124+C142+C154+C184+C241+C264+C288+C307+C387+C417+C441+C448+C479+C483+C532+C455+C332</f>
        <v>4848154.899999999</v>
      </c>
      <c r="D533" s="88">
        <f t="shared" si="169"/>
        <v>10928241</v>
      </c>
      <c r="E533" s="104">
        <f t="shared" si="169"/>
        <v>49680.649999999994</v>
      </c>
      <c r="F533" s="85">
        <f t="shared" si="169"/>
        <v>15826076.550000003</v>
      </c>
      <c r="G533" s="157">
        <f t="shared" si="169"/>
        <v>897690.39</v>
      </c>
      <c r="H533" s="157">
        <f t="shared" si="169"/>
        <v>27571.89</v>
      </c>
      <c r="I533" s="195">
        <f t="shared" si="169"/>
        <v>16751338.829999998</v>
      </c>
      <c r="J533" s="233">
        <f t="shared" si="169"/>
        <v>762708.3700000001</v>
      </c>
      <c r="K533" s="286">
        <f t="shared" si="169"/>
        <v>22872.77</v>
      </c>
      <c r="L533" s="195">
        <f t="shared" si="169"/>
        <v>17536919.970000003</v>
      </c>
      <c r="M533" s="265">
        <f t="shared" si="169"/>
        <v>670639.46</v>
      </c>
      <c r="N533" s="286">
        <f t="shared" si="169"/>
        <v>32960</v>
      </c>
      <c r="O533" s="195">
        <f t="shared" si="169"/>
        <v>18240519.43</v>
      </c>
      <c r="P533" s="233">
        <f t="shared" si="169"/>
        <v>0</v>
      </c>
      <c r="Q533" s="227">
        <f t="shared" si="169"/>
        <v>18127948.39</v>
      </c>
    </row>
    <row r="534" spans="1:17" ht="13.5" thickBot="1">
      <c r="A534" s="29" t="s">
        <v>138</v>
      </c>
      <c r="B534" s="67"/>
      <c r="C534" s="122">
        <v>-7650.62</v>
      </c>
      <c r="D534" s="140">
        <f>-325.01-61.36</f>
        <v>-386.37</v>
      </c>
      <c r="E534" s="131"/>
      <c r="F534" s="141">
        <f t="shared" si="156"/>
        <v>-8036.99</v>
      </c>
      <c r="G534" s="218">
        <f>-8.77</f>
        <v>-8.77</v>
      </c>
      <c r="H534" s="158"/>
      <c r="I534" s="194">
        <f>F534+G534+H534</f>
        <v>-8045.76</v>
      </c>
      <c r="J534" s="246">
        <f>-4.2</f>
        <v>-4.2</v>
      </c>
      <c r="K534" s="287"/>
      <c r="L534" s="306">
        <f>SUM(I534:K534)</f>
        <v>-8049.96</v>
      </c>
      <c r="M534" s="252"/>
      <c r="N534" s="287"/>
      <c r="O534" s="187">
        <f>SUM(L534:N534)</f>
        <v>-8049.96</v>
      </c>
      <c r="P534" s="246"/>
      <c r="Q534" s="222">
        <f>O534+P534</f>
        <v>-8049.96</v>
      </c>
    </row>
    <row r="535" spans="1:17" ht="16.5" thickBot="1">
      <c r="A535" s="30" t="s">
        <v>139</v>
      </c>
      <c r="B535" s="67"/>
      <c r="C535" s="123">
        <f aca="true" t="shared" si="170" ref="C535:Q535">C533+C534</f>
        <v>4840504.279999999</v>
      </c>
      <c r="D535" s="77">
        <f t="shared" si="170"/>
        <v>10927854.63</v>
      </c>
      <c r="E535" s="132">
        <f t="shared" si="170"/>
        <v>49680.649999999994</v>
      </c>
      <c r="F535" s="82">
        <f t="shared" si="170"/>
        <v>15818039.560000002</v>
      </c>
      <c r="G535" s="159">
        <f t="shared" si="170"/>
        <v>897681.62</v>
      </c>
      <c r="H535" s="159">
        <f t="shared" si="170"/>
        <v>27571.89</v>
      </c>
      <c r="I535" s="196">
        <f t="shared" si="170"/>
        <v>16743293.069999998</v>
      </c>
      <c r="J535" s="234">
        <f t="shared" si="170"/>
        <v>762704.1700000002</v>
      </c>
      <c r="K535" s="288">
        <f t="shared" si="170"/>
        <v>22872.77</v>
      </c>
      <c r="L535" s="196">
        <f t="shared" si="170"/>
        <v>17528870.01</v>
      </c>
      <c r="M535" s="266">
        <f t="shared" si="170"/>
        <v>670639.46</v>
      </c>
      <c r="N535" s="288">
        <f t="shared" si="170"/>
        <v>32960</v>
      </c>
      <c r="O535" s="196">
        <f t="shared" si="170"/>
        <v>18232469.47</v>
      </c>
      <c r="P535" s="234">
        <f t="shared" si="170"/>
        <v>0</v>
      </c>
      <c r="Q535" s="230">
        <f t="shared" si="170"/>
        <v>18119898.43</v>
      </c>
    </row>
    <row r="536" spans="1:17" ht="15.75">
      <c r="A536" s="31" t="s">
        <v>27</v>
      </c>
      <c r="B536" s="68"/>
      <c r="C536" s="124"/>
      <c r="D536" s="89"/>
      <c r="E536" s="133"/>
      <c r="F536" s="83"/>
      <c r="G536" s="160"/>
      <c r="H536" s="160"/>
      <c r="I536" s="197"/>
      <c r="J536" s="247"/>
      <c r="K536" s="289"/>
      <c r="L536" s="197"/>
      <c r="M536" s="253"/>
      <c r="N536" s="289"/>
      <c r="O536" s="197"/>
      <c r="P536" s="247"/>
      <c r="Q536" s="285"/>
    </row>
    <row r="537" spans="1:17" ht="15.75">
      <c r="A537" s="32" t="s">
        <v>243</v>
      </c>
      <c r="B537" s="69"/>
      <c r="C537" s="125">
        <f aca="true" t="shared" si="171" ref="C537:Q537">+C94+C114+C125+C143+C155+C185+C242+C265+C289+C308+C388+C418+C442+C449+C480+C485+C532+C534+C456+C333</f>
        <v>3531673.2799999993</v>
      </c>
      <c r="D537" s="90">
        <f t="shared" si="171"/>
        <v>8621357.889999999</v>
      </c>
      <c r="E537" s="134">
        <f t="shared" si="171"/>
        <v>15053.869999999999</v>
      </c>
      <c r="F537" s="86">
        <f t="shared" si="171"/>
        <v>12168085.040000001</v>
      </c>
      <c r="G537" s="161">
        <f t="shared" si="171"/>
        <v>291093.84</v>
      </c>
      <c r="H537" s="161">
        <f t="shared" si="171"/>
        <v>11565.7</v>
      </c>
      <c r="I537" s="198">
        <f t="shared" si="171"/>
        <v>12470744.58</v>
      </c>
      <c r="J537" s="235">
        <f t="shared" si="171"/>
        <v>215074.49</v>
      </c>
      <c r="K537" s="290">
        <f t="shared" si="171"/>
        <v>2740</v>
      </c>
      <c r="L537" s="198">
        <f t="shared" si="171"/>
        <v>12688559.07</v>
      </c>
      <c r="M537" s="267">
        <f t="shared" si="171"/>
        <v>282207.19</v>
      </c>
      <c r="N537" s="290">
        <f t="shared" si="171"/>
        <v>-3872.48</v>
      </c>
      <c r="O537" s="198">
        <f t="shared" si="171"/>
        <v>12966893.780000001</v>
      </c>
      <c r="P537" s="235">
        <f t="shared" si="171"/>
        <v>0</v>
      </c>
      <c r="Q537" s="231">
        <f t="shared" si="171"/>
        <v>12855953.11</v>
      </c>
    </row>
    <row r="538" spans="1:17" ht="16.5" thickBot="1">
      <c r="A538" s="18" t="s">
        <v>244</v>
      </c>
      <c r="B538" s="70"/>
      <c r="C538" s="126">
        <f aca="true" t="shared" si="172" ref="C538:Q538">+C103+C121+C137+C148+C175+C231+C257+C281+C300+C328+C412+C432+C445+C486+C470+C358</f>
        <v>1308831</v>
      </c>
      <c r="D538" s="91">
        <f t="shared" si="172"/>
        <v>2306496.74</v>
      </c>
      <c r="E538" s="135">
        <f t="shared" si="172"/>
        <v>34626.78</v>
      </c>
      <c r="F538" s="87">
        <f t="shared" si="172"/>
        <v>3649954.52</v>
      </c>
      <c r="G538" s="162">
        <f t="shared" si="172"/>
        <v>606587.78</v>
      </c>
      <c r="H538" s="162">
        <f t="shared" si="172"/>
        <v>16006.19</v>
      </c>
      <c r="I538" s="199">
        <f t="shared" si="172"/>
        <v>4272548.49</v>
      </c>
      <c r="J538" s="236">
        <f t="shared" si="172"/>
        <v>547629.68</v>
      </c>
      <c r="K538" s="291">
        <f t="shared" si="172"/>
        <v>20132.77</v>
      </c>
      <c r="L538" s="199">
        <f t="shared" si="172"/>
        <v>4840310.9399999995</v>
      </c>
      <c r="M538" s="268">
        <f t="shared" si="172"/>
        <v>388432.26999999996</v>
      </c>
      <c r="N538" s="291">
        <f t="shared" si="172"/>
        <v>36832.479999999996</v>
      </c>
      <c r="O538" s="199">
        <f t="shared" si="172"/>
        <v>5265575.69</v>
      </c>
      <c r="P538" s="236">
        <f t="shared" si="172"/>
        <v>0</v>
      </c>
      <c r="Q538" s="232">
        <f t="shared" si="172"/>
        <v>5263945.32</v>
      </c>
    </row>
    <row r="539" spans="1:17" ht="16.5" thickBot="1">
      <c r="A539" s="32" t="s">
        <v>237</v>
      </c>
      <c r="B539" s="69"/>
      <c r="C539" s="103">
        <f aca="true" t="shared" si="173" ref="C539:Q539">C91-C535</f>
        <v>-337499.99999999907</v>
      </c>
      <c r="D539" s="88">
        <f t="shared" si="173"/>
        <v>-2421728.9000000004</v>
      </c>
      <c r="E539" s="88">
        <f t="shared" si="173"/>
        <v>0</v>
      </c>
      <c r="F539" s="85">
        <f t="shared" si="173"/>
        <v>-2759228.9000000004</v>
      </c>
      <c r="G539" s="157">
        <f t="shared" si="173"/>
        <v>-21461.250000000116</v>
      </c>
      <c r="H539" s="181">
        <f t="shared" si="173"/>
        <v>-1652.109999999997</v>
      </c>
      <c r="I539" s="195">
        <f t="shared" si="173"/>
        <v>-2782342.259999998</v>
      </c>
      <c r="J539" s="233">
        <f t="shared" si="173"/>
        <v>0</v>
      </c>
      <c r="K539" s="286">
        <f t="shared" si="173"/>
        <v>0</v>
      </c>
      <c r="L539" s="195">
        <f t="shared" si="173"/>
        <v>-2782342.2600000016</v>
      </c>
      <c r="M539" s="265">
        <f t="shared" si="173"/>
        <v>0</v>
      </c>
      <c r="N539" s="286">
        <f t="shared" si="173"/>
        <v>0</v>
      </c>
      <c r="O539" s="195">
        <f t="shared" si="173"/>
        <v>-2782342.259999998</v>
      </c>
      <c r="P539" s="233">
        <f t="shared" si="173"/>
        <v>0</v>
      </c>
      <c r="Q539" s="227">
        <f t="shared" si="173"/>
        <v>-2669771.219999999</v>
      </c>
    </row>
    <row r="540" spans="1:17" ht="15.75">
      <c r="A540" s="31" t="s">
        <v>245</v>
      </c>
      <c r="B540" s="68"/>
      <c r="C540" s="127">
        <f>SUM(C542:C545)</f>
        <v>337500</v>
      </c>
      <c r="D540" s="92">
        <f aca="true" t="shared" si="174" ref="D540:Q540">SUM(D542:D545)</f>
        <v>2421728.9</v>
      </c>
      <c r="E540" s="92">
        <f t="shared" si="174"/>
        <v>0</v>
      </c>
      <c r="F540" s="209">
        <f t="shared" si="174"/>
        <v>2759228.9</v>
      </c>
      <c r="G540" s="163">
        <f t="shared" si="174"/>
        <v>21461.250000000004</v>
      </c>
      <c r="H540" s="182">
        <f t="shared" si="174"/>
        <v>1652.11</v>
      </c>
      <c r="I540" s="200">
        <f t="shared" si="174"/>
        <v>2782342.26</v>
      </c>
      <c r="J540" s="237">
        <f t="shared" si="174"/>
        <v>0</v>
      </c>
      <c r="K540" s="292">
        <f t="shared" si="174"/>
        <v>0</v>
      </c>
      <c r="L540" s="200">
        <f t="shared" si="174"/>
        <v>2782342.26</v>
      </c>
      <c r="M540" s="302">
        <f t="shared" si="174"/>
        <v>0</v>
      </c>
      <c r="N540" s="292">
        <f t="shared" si="174"/>
        <v>0</v>
      </c>
      <c r="O540" s="200">
        <f t="shared" si="174"/>
        <v>2782342.26</v>
      </c>
      <c r="P540" s="237">
        <f t="shared" si="174"/>
        <v>0</v>
      </c>
      <c r="Q540" s="228">
        <f t="shared" si="174"/>
        <v>2782342.26</v>
      </c>
    </row>
    <row r="541" spans="1:17" ht="12.75" customHeight="1">
      <c r="A541" s="33" t="s">
        <v>27</v>
      </c>
      <c r="B541" s="71"/>
      <c r="C541" s="128"/>
      <c r="D541" s="93"/>
      <c r="E541" s="93"/>
      <c r="F541" s="210"/>
      <c r="G541" s="164"/>
      <c r="H541" s="183"/>
      <c r="I541" s="201"/>
      <c r="J541" s="248"/>
      <c r="K541" s="269"/>
      <c r="L541" s="201"/>
      <c r="M541" s="303"/>
      <c r="N541" s="269"/>
      <c r="O541" s="201"/>
      <c r="P541" s="239"/>
      <c r="Q541" s="256"/>
    </row>
    <row r="542" spans="1:17" ht="14.25">
      <c r="A542" s="33" t="s">
        <v>140</v>
      </c>
      <c r="B542" s="71"/>
      <c r="C542" s="129">
        <v>400000</v>
      </c>
      <c r="D542" s="109"/>
      <c r="E542" s="109"/>
      <c r="F542" s="211">
        <f>SUM(C542:E542)</f>
        <v>400000</v>
      </c>
      <c r="G542" s="165"/>
      <c r="H542" s="184"/>
      <c r="I542" s="202">
        <f>SUM(F542:H542)</f>
        <v>400000</v>
      </c>
      <c r="J542" s="249"/>
      <c r="K542" s="284"/>
      <c r="L542" s="202">
        <f>SUM(I542:K542)</f>
        <v>400000</v>
      </c>
      <c r="M542" s="304"/>
      <c r="N542" s="270"/>
      <c r="O542" s="202">
        <f>SUM(L542:N542)</f>
        <v>400000</v>
      </c>
      <c r="P542" s="271"/>
      <c r="Q542" s="272">
        <f t="shared" si="159"/>
        <v>400000</v>
      </c>
    </row>
    <row r="543" spans="1:17" ht="14.25">
      <c r="A543" s="34" t="s">
        <v>147</v>
      </c>
      <c r="B543" s="71"/>
      <c r="C543" s="129">
        <v>-62500</v>
      </c>
      <c r="D543" s="109">
        <v>-85301.94</v>
      </c>
      <c r="E543" s="109"/>
      <c r="F543" s="211">
        <f>SUM(C543:E543)</f>
        <v>-147801.94</v>
      </c>
      <c r="G543" s="165"/>
      <c r="H543" s="184"/>
      <c r="I543" s="202">
        <f>SUM(F543:H543)</f>
        <v>-147801.94</v>
      </c>
      <c r="J543" s="249"/>
      <c r="K543" s="284"/>
      <c r="L543" s="202">
        <f>SUM(I543:K543)</f>
        <v>-147801.94</v>
      </c>
      <c r="M543" s="304"/>
      <c r="N543" s="270"/>
      <c r="O543" s="202">
        <f>SUM(L543:N543)</f>
        <v>-147801.94</v>
      </c>
      <c r="P543" s="271"/>
      <c r="Q543" s="272">
        <f t="shared" si="159"/>
        <v>-147801.94</v>
      </c>
    </row>
    <row r="544" spans="1:17" ht="14.25">
      <c r="A544" s="34" t="s">
        <v>141</v>
      </c>
      <c r="B544" s="216"/>
      <c r="C544" s="129"/>
      <c r="D544" s="109">
        <f>1117496.24+80+2350+4820+1200+53138.43+589362.95+6000+26820.5+14658.97+17233+6722.35+2350+46171.6+2652.44+8600+3629.31+25140.91+46003.3+5292.85+85301.94+317+22470.21+428.39+927+1613+97959.59+4051.42+706.31+1000+268571.85+3025.7+2888.74+17660.78+4172.21+25+12883.26+2608.09+26.5+671</f>
        <v>2507030.84</v>
      </c>
      <c r="E544" s="109"/>
      <c r="F544" s="211">
        <f>SUM(C544:E544)</f>
        <v>2507030.84</v>
      </c>
      <c r="G544" s="217">
        <f>305.33+20211.43</f>
        <v>20516.760000000002</v>
      </c>
      <c r="H544" s="219">
        <f>1652.11</f>
        <v>1652.11</v>
      </c>
      <c r="I544" s="202">
        <f>SUM(F544:H544)</f>
        <v>2529199.7099999995</v>
      </c>
      <c r="J544" s="249"/>
      <c r="K544" s="284"/>
      <c r="L544" s="202">
        <f>SUM(I544:K544)</f>
        <v>2529199.7099999995</v>
      </c>
      <c r="M544" s="217"/>
      <c r="N544" s="270"/>
      <c r="O544" s="202">
        <f>SUM(L544:N544)</f>
        <v>2529199.7099999995</v>
      </c>
      <c r="P544" s="271"/>
      <c r="Q544" s="272">
        <f t="shared" si="159"/>
        <v>2529199.7099999995</v>
      </c>
    </row>
    <row r="545" spans="1:17" ht="15" thickBot="1">
      <c r="A545" s="43" t="s">
        <v>158</v>
      </c>
      <c r="B545" s="72"/>
      <c r="C545" s="130"/>
      <c r="D545" s="110" t="s">
        <v>214</v>
      </c>
      <c r="E545" s="110"/>
      <c r="F545" s="212">
        <f>SUM(C545:E545)</f>
        <v>0</v>
      </c>
      <c r="G545" s="215">
        <f>944.49</f>
        <v>944.49</v>
      </c>
      <c r="H545" s="166"/>
      <c r="I545" s="203">
        <f>SUM(F545:H545)</f>
        <v>944.49</v>
      </c>
      <c r="J545" s="250"/>
      <c r="K545" s="166"/>
      <c r="L545" s="203">
        <f>SUM(I545:K545)</f>
        <v>944.49</v>
      </c>
      <c r="M545" s="215"/>
      <c r="N545" s="273"/>
      <c r="O545" s="203">
        <f>SUM(L545:N545)</f>
        <v>944.49</v>
      </c>
      <c r="P545" s="274"/>
      <c r="Q545" s="275">
        <f t="shared" si="159"/>
        <v>944.49</v>
      </c>
    </row>
    <row r="546" spans="2:17" ht="12.75">
      <c r="B546" s="73"/>
      <c r="C546" s="84">
        <f aca="true" t="shared" si="175" ref="C546:Q546">C91+C540-C535</f>
        <v>0</v>
      </c>
      <c r="D546" s="84">
        <f t="shared" si="175"/>
        <v>0</v>
      </c>
      <c r="E546" s="84">
        <f t="shared" si="175"/>
        <v>0</v>
      </c>
      <c r="F546" s="84">
        <f t="shared" si="175"/>
        <v>0</v>
      </c>
      <c r="G546" s="102">
        <f t="shared" si="175"/>
        <v>0</v>
      </c>
      <c r="H546" s="102">
        <f t="shared" si="175"/>
        <v>0</v>
      </c>
      <c r="I546" s="102">
        <f t="shared" si="175"/>
        <v>0</v>
      </c>
      <c r="J546" s="102">
        <f t="shared" si="175"/>
        <v>0</v>
      </c>
      <c r="K546" s="102">
        <f t="shared" si="175"/>
        <v>0</v>
      </c>
      <c r="L546" s="102">
        <f t="shared" si="175"/>
        <v>0</v>
      </c>
      <c r="M546" s="102">
        <f t="shared" si="175"/>
        <v>0</v>
      </c>
      <c r="N546" s="102">
        <f t="shared" si="175"/>
        <v>0</v>
      </c>
      <c r="O546" s="102">
        <f t="shared" si="175"/>
        <v>0</v>
      </c>
      <c r="P546" s="102">
        <f t="shared" si="175"/>
        <v>0</v>
      </c>
      <c r="Q546" s="102">
        <f t="shared" si="175"/>
        <v>112571.0399999991</v>
      </c>
    </row>
    <row r="547" spans="2:16" ht="12.75">
      <c r="B547" s="73"/>
      <c r="L547" s="102"/>
      <c r="P547" s="42"/>
    </row>
    <row r="548" spans="2:16" ht="12.75">
      <c r="B548" s="73"/>
      <c r="D548" s="102"/>
      <c r="L548" s="102"/>
      <c r="P548" s="42"/>
    </row>
    <row r="549" spans="2:16" ht="12.75">
      <c r="B549" s="73"/>
      <c r="L549" s="102"/>
      <c r="P549" s="42"/>
    </row>
    <row r="550" spans="2:16" ht="12.75">
      <c r="B550" s="73"/>
      <c r="L550" s="102"/>
      <c r="P550" s="42"/>
    </row>
    <row r="551" spans="2:16" ht="12.75">
      <c r="B551" s="73"/>
      <c r="L551" s="102"/>
      <c r="P551" s="42"/>
    </row>
    <row r="552" spans="2:16" ht="12.75">
      <c r="B552" s="73"/>
      <c r="L552" s="102"/>
      <c r="P552" s="42"/>
    </row>
    <row r="553" spans="2:16" ht="12.75">
      <c r="B553" s="73"/>
      <c r="L553" s="102"/>
      <c r="P553" s="42"/>
    </row>
    <row r="554" spans="2:16" ht="12.75">
      <c r="B554" s="73"/>
      <c r="L554" s="102"/>
      <c r="P554" s="42"/>
    </row>
    <row r="555" spans="2:16" ht="12.75">
      <c r="B555" s="73"/>
      <c r="L555" s="102"/>
      <c r="P555" s="42"/>
    </row>
    <row r="556" spans="2:16" ht="12.75">
      <c r="B556" s="73"/>
      <c r="L556" s="102"/>
      <c r="P556" s="42"/>
    </row>
    <row r="557" spans="2:16" ht="12.75">
      <c r="B557" s="73"/>
      <c r="L557" s="102"/>
      <c r="P557" s="42"/>
    </row>
    <row r="558" spans="2:16" ht="12.75">
      <c r="B558" s="73"/>
      <c r="L558" s="102"/>
      <c r="P558" s="42"/>
    </row>
    <row r="559" spans="2:16" ht="12.75">
      <c r="B559" s="73"/>
      <c r="L559" s="102"/>
      <c r="P559" s="42"/>
    </row>
    <row r="560" spans="2:16" ht="12.75">
      <c r="B560" s="73"/>
      <c r="L560" s="102"/>
      <c r="P560" s="42"/>
    </row>
    <row r="561" spans="2:16" ht="12.75">
      <c r="B561" s="73"/>
      <c r="L561" s="102"/>
      <c r="P561" s="42"/>
    </row>
    <row r="562" spans="2:16" ht="12.75">
      <c r="B562" s="73"/>
      <c r="L562" s="102"/>
      <c r="P562" s="42"/>
    </row>
    <row r="563" spans="2:16" ht="12.75">
      <c r="B563" s="73"/>
      <c r="L563" s="102"/>
      <c r="P563" s="42"/>
    </row>
    <row r="564" spans="2:16" ht="12.75">
      <c r="B564" s="73"/>
      <c r="L564" s="102"/>
      <c r="P564" s="42"/>
    </row>
    <row r="565" spans="2:16" ht="12.75">
      <c r="B565" s="73"/>
      <c r="L565" s="102"/>
      <c r="P565" s="42"/>
    </row>
    <row r="566" spans="12:16" ht="12.75">
      <c r="L566" s="102"/>
      <c r="P566" s="42"/>
    </row>
    <row r="567" spans="12:16" ht="12.75">
      <c r="L567" s="102"/>
      <c r="P567" s="42"/>
    </row>
    <row r="568" spans="12:16" ht="12.75">
      <c r="L568" s="102"/>
      <c r="P568" s="42"/>
    </row>
    <row r="569" spans="12:16" ht="12.75">
      <c r="L569" s="102"/>
      <c r="P569" s="42"/>
    </row>
    <row r="570" spans="12:16" ht="12.75">
      <c r="L570" s="102"/>
      <c r="P570" s="42"/>
    </row>
    <row r="571" spans="12:16" ht="12.75">
      <c r="L571" s="102"/>
      <c r="P571" s="42"/>
    </row>
    <row r="572" spans="12:16" ht="12.75">
      <c r="L572" s="102"/>
      <c r="P572" s="42"/>
    </row>
    <row r="573" spans="12:16" ht="12.75">
      <c r="L573" s="102"/>
      <c r="P573" s="42"/>
    </row>
    <row r="574" spans="12:16" ht="12.75">
      <c r="L574" s="102"/>
      <c r="P574" s="42"/>
    </row>
    <row r="575" spans="12:16" ht="12.75">
      <c r="L575" s="102"/>
      <c r="P575" s="42"/>
    </row>
    <row r="576" spans="12:16" ht="12.75">
      <c r="L576" s="102"/>
      <c r="P576" s="42"/>
    </row>
    <row r="577" spans="12:16" ht="12.75">
      <c r="L577" s="102"/>
      <c r="P577" s="42"/>
    </row>
    <row r="578" spans="12:16" ht="12.75">
      <c r="L578" s="102"/>
      <c r="P578" s="42"/>
    </row>
    <row r="579" ht="12.75">
      <c r="L579" s="102"/>
    </row>
    <row r="580" ht="12.75">
      <c r="L580" s="102"/>
    </row>
    <row r="581" ht="12.75">
      <c r="L581" s="102"/>
    </row>
    <row r="582" ht="12.75">
      <c r="L582" s="102"/>
    </row>
    <row r="583" ht="12.75">
      <c r="L583" s="102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78" r:id="rId1"/>
  <headerFooter alignWithMargins="0">
    <oddFooter>&amp;CStránka &amp;P</oddFooter>
  </headerFooter>
  <rowBreaks count="6" manualBreakCount="6">
    <brk id="91" max="14" man="1"/>
    <brk id="183" max="14" man="1"/>
    <brk id="263" max="14" man="1"/>
    <brk id="348" max="14" man="1"/>
    <brk id="438" max="14" man="1"/>
    <brk id="51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Kopřivová Věra</cp:lastModifiedBy>
  <cp:lastPrinted>2019-12-05T11:31:44Z</cp:lastPrinted>
  <dcterms:created xsi:type="dcterms:W3CDTF">2009-01-05T12:05:07Z</dcterms:created>
  <dcterms:modified xsi:type="dcterms:W3CDTF">2019-12-12T07:50:56Z</dcterms:modified>
  <cp:category/>
  <cp:version/>
  <cp:contentType/>
  <cp:contentStatus/>
</cp:coreProperties>
</file>