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0932" activeTab="0"/>
  </bookViews>
  <sheets>
    <sheet name="Bilance" sheetId="1" r:id="rId1"/>
  </sheets>
  <definedNames>
    <definedName name="_xlnm.Print_Titles" localSheetId="0">'Bilance'!$6:$7</definedName>
    <definedName name="_xlnm.Print_Area" localSheetId="0">'Bilance'!$A$1:$S$550</definedName>
    <definedName name="Z_39FD50E0_9911_4D32_8842_5A58F13D310F_.wvu.Cols" localSheetId="0" hidden="1">'Bilance'!$D:$K,'Bilance'!$N:$N,'Bilance'!#REF!</definedName>
    <definedName name="Z_39FD50E0_9911_4D32_8842_5A58F13D310F_.wvu.PrintTitles" localSheetId="0" hidden="1">'Bilance'!$6:$7</definedName>
    <definedName name="Z_39FD50E0_9911_4D32_8842_5A58F13D310F_.wvu.Rows" localSheetId="0" hidden="1">'Bilance'!#REF!</definedName>
  </definedNames>
  <calcPr fullCalcOnLoad="1"/>
</workbook>
</file>

<file path=xl/sharedStrings.xml><?xml version="1.0" encoding="utf-8"?>
<sst xmlns="http://schemas.openxmlformats.org/spreadsheetml/2006/main" count="610" uniqueCount="400">
  <si>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</si>
  <si>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</si>
  <si>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</si>
  <si>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</si>
  <si>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</si>
  <si>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</si>
  <si>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</si>
  <si>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</si>
  <si>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</si>
  <si>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</si>
  <si>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</si>
  <si>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</si>
  <si>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</si>
  <si>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</si>
  <si>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</si>
  <si>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</si>
  <si>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</si>
  <si>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</si>
  <si>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</si>
  <si>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</si>
  <si>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</si>
  <si>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</si>
  <si>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</si>
  <si>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</si>
  <si>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</si>
  <si>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</si>
  <si>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</si>
  <si>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</si>
  <si>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</si>
  <si>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</si>
  <si>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</si>
  <si>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</si>
  <si>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</si>
  <si>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</si>
  <si>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</si>
  <si>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</si>
  <si>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</si>
  <si>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</si>
  <si>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</si>
  <si>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</si>
  <si>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</si>
  <si>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</si>
  <si>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</si>
  <si>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</si>
  <si>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</si>
  <si>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</si>
  <si>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</si>
  <si>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</si>
  <si>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</si>
  <si>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</si>
  <si>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</si>
  <si>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</si>
  <si>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</si>
  <si>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</si>
  <si>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</si>
  <si>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</si>
  <si>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</si>
  <si>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</si>
  <si>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</si>
  <si>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</si>
  <si>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</si>
  <si>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</si>
  <si>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</si>
  <si>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</si>
  <si>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</si>
  <si>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</si>
  <si>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</si>
  <si>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</si>
  <si>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</si>
  <si>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</si>
  <si>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</si>
  <si>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</si>
  <si>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</si>
  <si>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</si>
  <si>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</si>
  <si>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</si>
  <si>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</si>
  <si>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</si>
  <si>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</si>
  <si>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</si>
  <si>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</si>
  <si>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</si>
  <si>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</si>
  <si>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</si>
  <si>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</si>
  <si>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</si>
  <si>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</si>
  <si>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</si>
  <si>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</si>
  <si>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</si>
  <si>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</si>
  <si>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</si>
  <si>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</si>
  <si>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</si>
  <si>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</si>
  <si>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</si>
  <si>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</si>
  <si>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</si>
  <si>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</si>
  <si>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</si>
  <si>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</si>
  <si>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</si>
  <si>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</si>
  <si>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</si>
  <si>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</si>
  <si>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</si>
  <si>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</si>
  <si>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</si>
  <si>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</si>
  <si>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</si>
  <si>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</si>
  <si>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</si>
  <si>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</si>
  <si>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</si>
  <si>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</si>
  <si>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</si>
  <si>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</si>
  <si>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</si>
  <si>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</si>
  <si>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</si>
  <si>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</si>
  <si>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</si>
  <si>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</si>
  <si>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</si>
  <si>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</si>
  <si>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</si>
  <si>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</si>
  <si>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</si>
  <si>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</si>
  <si>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</si>
  <si>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</si>
  <si>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</si>
  <si>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</si>
  <si>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</si>
  <si>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</si>
  <si>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</si>
  <si>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</si>
  <si>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</si>
  <si>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</si>
  <si>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</si>
  <si>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</si>
  <si>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</si>
  <si>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</si>
  <si>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</si>
  <si>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</si>
  <si>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</si>
  <si>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</si>
  <si>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</si>
  <si>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</si>
  <si>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</si>
  <si>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</si>
  <si>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</si>
  <si>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</si>
  <si>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</si>
  <si>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</si>
  <si>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</si>
  <si>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</si>
  <si>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</si>
  <si>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</si>
  <si>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</si>
  <si>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</si>
  <si>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</si>
  <si>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</si>
  <si>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</si>
  <si>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</si>
  <si>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</si>
  <si>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</si>
  <si>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</si>
  <si>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</si>
  <si>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</si>
  <si>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odměny vč. refundací a náhrad mezd v době nemoci</t>
  </si>
  <si>
    <t>platy zam.a ost.pl.za prov.práci vč.náhr.mezd v době nem.</t>
  </si>
  <si>
    <t>splátky úvěru</t>
  </si>
  <si>
    <t>GG VK 3.2 - Podpora nabídky dalšího vzdělávání - SR</t>
  </si>
  <si>
    <t>Projekt technické pomoci OPPS ČR-PR 2007-2013 - SR</t>
  </si>
  <si>
    <t>podpora výuky cizích jazyků - SR</t>
  </si>
  <si>
    <t>projekt Regionální inst.ambul.psychos.sl.- RRRS SV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</si>
  <si>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</si>
  <si>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</si>
  <si>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</si>
  <si>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</si>
  <si>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 xml:space="preserve">GG1.3.OPVK-Další vzděl.prac.škol a zař. - SR </t>
  </si>
  <si>
    <t xml:space="preserve">GG 1.1.OPVK-Zvyšování kvality ve vzděl.- SR </t>
  </si>
  <si>
    <t>OP LZZ - vzdělávání v eGON centrech krajů - SR</t>
  </si>
  <si>
    <t>nedaňové příjmy odvětví zdravotnictví</t>
  </si>
  <si>
    <t>OPVK-spolupr.VOŠ,VŠ a zaměst.při modern.vzděl.progr.-SR</t>
  </si>
  <si>
    <t xml:space="preserve">GG 1.2.OPVK-Rovné příl.dětí a ž.se sp.potř. - SR </t>
  </si>
  <si>
    <t xml:space="preserve">podpora vzděl.národ.menšin a multikult.výchovy - SR </t>
  </si>
  <si>
    <t>krajský program prevence kriminality - SR</t>
  </si>
  <si>
    <t xml:space="preserve">OP VK 5. 2. - Publicita a informovanost - SR </t>
  </si>
  <si>
    <t xml:space="preserve">OP VK 5.3. - Podpora tvorby a přípravy projektů - SR 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</si>
  <si>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</si>
  <si>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</si>
  <si>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</si>
  <si>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</si>
  <si>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doprava</t>
  </si>
  <si>
    <t>nedaňové příjmy odvětví životní prostředí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</si>
  <si>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</si>
  <si>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</si>
  <si>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</si>
  <si>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</si>
  <si>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</si>
  <si>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</si>
  <si>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</si>
  <si>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</si>
  <si>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</si>
  <si>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LABEL - transfery ze zahraničí</t>
  </si>
  <si>
    <t>OP LZZ - zvýš.kvality řízení v úřadech úz.veř.spr.-SR</t>
  </si>
  <si>
    <t xml:space="preserve">ROP silnice a mosty - vratka dotace RRRS SV </t>
  </si>
  <si>
    <t>Dobrovolnictví na Náchodsku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</si>
  <si>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</si>
  <si>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</si>
  <si>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</si>
  <si>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</si>
  <si>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</si>
  <si>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</si>
  <si>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</si>
  <si>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</si>
  <si>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</si>
  <si>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</si>
  <si>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</si>
  <si>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</si>
  <si>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</si>
  <si>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</si>
  <si>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 1.5 - zlepšení podm.pro vzděl.na SŠ - SR</t>
  </si>
  <si>
    <t>excelence středních škol - SR</t>
  </si>
  <si>
    <t>kap. 21 - investice a evropské projekty</t>
  </si>
  <si>
    <t>kap. 48 - Dotační fond KHK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</si>
  <si>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</si>
  <si>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</si>
  <si>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</si>
  <si>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</si>
  <si>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</si>
  <si>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</si>
  <si>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</si>
  <si>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</si>
  <si>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</si>
  <si>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</si>
  <si>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</si>
  <si>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</si>
  <si>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</si>
  <si>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</si>
  <si>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 xml:space="preserve">                 org. 9999, org. 7777</t>
  </si>
  <si>
    <t xml:space="preserve">             org. 7777</t>
  </si>
  <si>
    <t>SU AU</t>
  </si>
  <si>
    <t>ÚZ</t>
  </si>
  <si>
    <t>ÚZ 70</t>
  </si>
  <si>
    <t>org. 21</t>
  </si>
  <si>
    <t>org. 60</t>
  </si>
  <si>
    <t xml:space="preserve">OP VK 5.1. - Technická pomoc - administrace 2 - SR </t>
  </si>
  <si>
    <t>podpora soc.znevýh.romských žáků SŠ a stud.VOŠ - SR</t>
  </si>
  <si>
    <t xml:space="preserve">OP LZZ - rozvoj lektorského týmu - SR </t>
  </si>
  <si>
    <t xml:space="preserve">             školství</t>
  </si>
  <si>
    <t xml:space="preserve">             evropská integrace - ostatní</t>
  </si>
  <si>
    <t>průmyslová zóna Kvasiny</t>
  </si>
  <si>
    <t>OJ 62</t>
  </si>
  <si>
    <t>OJ 61</t>
  </si>
  <si>
    <t>příspěvek PO na provoz - CIRI</t>
  </si>
  <si>
    <t xml:space="preserve">                                   - CIRI - centrum sdíl.služeb</t>
  </si>
  <si>
    <t xml:space="preserve">             kultura</t>
  </si>
  <si>
    <t>org.57</t>
  </si>
  <si>
    <t>kap. 39 - regionální rozvoj a cestovní ruch</t>
  </si>
  <si>
    <t xml:space="preserve">OP LZZ Rozvoj dostup.a kvality soc.sl.v KHK IV - SR </t>
  </si>
  <si>
    <t>OP LZZ Podpora činnosti orgánu soc.právní ochrany dětí - SR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</si>
  <si>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</si>
  <si>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</si>
  <si>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</si>
  <si>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</si>
  <si>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</si>
  <si>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OP LZZ Rozvoj dostup.a kvality soc.sl.v KHK III - SR </t>
  </si>
  <si>
    <t xml:space="preserve">                 CIRI, PO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</si>
  <si>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</si>
  <si>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</si>
  <si>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</si>
  <si>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</si>
  <si>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</si>
  <si>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</si>
  <si>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</si>
  <si>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</si>
  <si>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</si>
  <si>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příjmy z finančního vypořádání</t>
  </si>
  <si>
    <t xml:space="preserve">  odvětví - ostatní</t>
  </si>
  <si>
    <t>HZS KHK - Rekonstr.stadionu pro požární sport v HK</t>
  </si>
  <si>
    <t>HZS KHK - Požární stanice a ZZS Vrchlabí</t>
  </si>
  <si>
    <t xml:space="preserve">rezerva </t>
  </si>
  <si>
    <t>rezerva - blokováno pro projekty dopravy</t>
  </si>
  <si>
    <t>odstraňování škod po povodních v červnu 2013 - SR</t>
  </si>
  <si>
    <t>GG VK 3.2 - Podpora nabídky dalšího vzdělávání - SR 2014</t>
  </si>
  <si>
    <t>Projekt technické pomoci OPPS ČR-PR 2007-2013 - SR 2014</t>
  </si>
  <si>
    <t>Strategie integr.spolupr.česko-polského příhr.- SR  2014</t>
  </si>
  <si>
    <t>OP VK - Podpora přírod.a techn. vzdělávání v KHK - SR 2014</t>
  </si>
  <si>
    <t>OP VK 5. 2. - Publicita a informovanost - SR 2014</t>
  </si>
  <si>
    <t>GG 1.1.OPVK-Zvyšování kvality ve vzděl.- SR  2014</t>
  </si>
  <si>
    <t>2GG 1.2.OPVK-Rovné příl.dětí a ž.se sp.potř. II. - SR 2014</t>
  </si>
  <si>
    <t>GG1.3.OPVK-Další vzděl.prac.škol a zař. - SR 2014</t>
  </si>
  <si>
    <t>2GG1.3.OPVK-Další vzděl.prac.škol a zař.  II. - SR 2014</t>
  </si>
  <si>
    <t>GG 1.1.OPVK-Zvyšování kvality ve vzdělávání - SR r.2014</t>
  </si>
  <si>
    <t>GG 1.2.OPVK-Rovné přílež.dětí a ž.se sp.potř.- SR r.2014</t>
  </si>
  <si>
    <t>GG1.3.OPVK-Další vzděl.prac.škol a zař. - SR r.2014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</si>
  <si>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</si>
  <si>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</si>
  <si>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</si>
  <si>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org. 8888</t>
  </si>
  <si>
    <t xml:space="preserve">                 správa majetku kraje</t>
  </si>
  <si>
    <t>Průmyslová zóna Kvasiny III.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</si>
  <si>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</si>
  <si>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</si>
  <si>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</si>
  <si>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</si>
  <si>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>OP LZZ projekty PO - SR</t>
  </si>
  <si>
    <t>OP LZZ - vzdělávání v eGON centrech krajů - SR 2014</t>
  </si>
  <si>
    <t>OP LZZ - zvýš.kvality řízení v úřadech úz.veř.spr.-SR 2014</t>
  </si>
  <si>
    <t>OP LZZ Rozvoj dostup.a kvality soc.sl.v KHK IV - SR 2014</t>
  </si>
  <si>
    <t>OP LZZ Služby soc.prevence v KHK III - SR 2014</t>
  </si>
  <si>
    <t xml:space="preserve">investiční transfery a.s. ZOO Dvůr Králové n. L. </t>
  </si>
  <si>
    <t>regionální rozvoj</t>
  </si>
  <si>
    <t xml:space="preserve">investiční transfer - CIRI </t>
  </si>
  <si>
    <t>poskytovatelé sociálních služeb dle Z.108/2006 Sb. - SR</t>
  </si>
  <si>
    <t>nedaňové příjmy FRR - odvětví doprava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</si>
  <si>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</si>
  <si>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</si>
  <si>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</si>
  <si>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</si>
  <si>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volnočasové aktivity</t>
  </si>
  <si>
    <t>pořízení vozidel k zajiš.kriz.připravenosti pro ZZS KHK - SR</t>
  </si>
  <si>
    <t>podpora implem.etické výchovy do vzděl.v ZŠ a G - SR</t>
  </si>
  <si>
    <t>podpora odborného vzdělávání v roce 2015 - SR</t>
  </si>
  <si>
    <t>průmyslová zóna Vrchlabí  -  SR</t>
  </si>
  <si>
    <t xml:space="preserve">OP LZZ Služby soc.prevence v KHK III - SR </t>
  </si>
  <si>
    <t xml:space="preserve">   v tom: rezerva investiční</t>
  </si>
  <si>
    <t xml:space="preserve">             poplatky</t>
  </si>
  <si>
    <t xml:space="preserve">OP VK - Podpora přírod.a techn. vzdělávání v KHK - SR </t>
  </si>
  <si>
    <t>nedaňové příjmy FRR - odvětví sociální věci</t>
  </si>
  <si>
    <t>vybavení šk.porad.zařízení diagnost.nástroji - SR</t>
  </si>
  <si>
    <t>výstavba, modernizace, opravy a údržba silnic II.a III.tř.- SR</t>
  </si>
  <si>
    <t>projekty školství - RRRS SV</t>
  </si>
  <si>
    <t>národní program řešení problematiky HIV/AIDS - SR</t>
  </si>
  <si>
    <t>nedaňové příjmy odvětví zastupitelstvo</t>
  </si>
  <si>
    <t>průmyslová zóna Kvasiny III.</t>
  </si>
  <si>
    <t xml:space="preserve">             doprava</t>
  </si>
  <si>
    <t>nedaňové příjmy odvětví regionální rozvoj</t>
  </si>
  <si>
    <t xml:space="preserve">  odvětví správa majetku kraje</t>
  </si>
  <si>
    <t>cestovní ruch</t>
  </si>
  <si>
    <t>majetková účast v a.s.</t>
  </si>
  <si>
    <t>4800+o.120</t>
  </si>
  <si>
    <t>org.80</t>
  </si>
  <si>
    <t>OJ 63</t>
  </si>
  <si>
    <t>org.81,82</t>
  </si>
  <si>
    <t xml:space="preserve">OPVK - projekty PO </t>
  </si>
  <si>
    <t>učebnice a laboratorní sady CTYOnline - SR</t>
  </si>
  <si>
    <t>IOP - transformace PO - SR</t>
  </si>
  <si>
    <t>připravenost poskyt.ZZS na řešení mimoř.událostí - SR</t>
  </si>
  <si>
    <t>zvýšení mezd prac.soukromého a církev.školství - SR</t>
  </si>
  <si>
    <t>OPVK 1.1 - Zvyšování kvality ve vzdělávání - SR</t>
  </si>
  <si>
    <t>preventivní ochrana před nepřízn.vlivy prostředí - SR</t>
  </si>
  <si>
    <t>výkon sociální práce - SR</t>
  </si>
  <si>
    <t>nedaňové příjmy odvětví dotační fond</t>
  </si>
  <si>
    <t xml:space="preserve">  od DSO</t>
  </si>
  <si>
    <t>nedaňové příjmy odvětví kultura</t>
  </si>
  <si>
    <t xml:space="preserve">Strategie integr.spolupr.česko-polského příhr.- SR  </t>
  </si>
  <si>
    <t>ukončování střed.vzděl.matur.zk.v podz.zkuš.období - SR</t>
  </si>
  <si>
    <t>zvýšení odměňování pracovníků region.školství v roce 2015 - SR</t>
  </si>
  <si>
    <t>individuální dotace</t>
  </si>
  <si>
    <t>příjmy z dividend - odvětví doprava</t>
  </si>
  <si>
    <t xml:space="preserve">                        investice a evrop.projekty</t>
  </si>
  <si>
    <t>podpora environmentálního vzdělávání - SR</t>
  </si>
  <si>
    <t>investiční transfery a.s.</t>
  </si>
  <si>
    <t>Rozvoj a obnova mat.techn.zákl.reg.zdravotnictví - SR</t>
  </si>
  <si>
    <t>4359+35063</t>
  </si>
  <si>
    <t>Modernizace a dostavba ON Náchod</t>
  </si>
  <si>
    <t>financování asistentů pedagoga - modul A - SR</t>
  </si>
  <si>
    <t>financování asistentů pedagoga - modul B - SR</t>
  </si>
  <si>
    <t>nedaňové příjmy odvětví investice</t>
  </si>
  <si>
    <t>správní poplatky</t>
  </si>
  <si>
    <t>nedaňové příjmy odvětví sociální věci</t>
  </si>
  <si>
    <t>nedaňové příjmy  ostatní</t>
  </si>
  <si>
    <t>org.81,51,82</t>
  </si>
  <si>
    <t>Upravený</t>
  </si>
  <si>
    <t>Skutečnost</t>
  </si>
  <si>
    <t>%</t>
  </si>
  <si>
    <t>ČERPÁNÍ ROZPOČTU KRÁLOVÉHRADECKÉHO KRAJE</t>
  </si>
  <si>
    <t>Tabulka č. 1</t>
  </si>
  <si>
    <t>k 31. 12.  2015</t>
  </si>
  <si>
    <t>k 31.12.2015</t>
  </si>
  <si>
    <t>x</t>
  </si>
  <si>
    <t xml:space="preserve">GG VK 3.2 - Podpora nabídky dalšího vzdělávání - SR </t>
  </si>
  <si>
    <t xml:space="preserve">2GG 1.1.OPVK-Zvyšování kvality ve vzděl.II. - SR </t>
  </si>
  <si>
    <t xml:space="preserve">GG 1.2.OPVK-Rovné příl.dětí a ž.se sp.potř.-SR </t>
  </si>
  <si>
    <t xml:space="preserve">2GG 1.2.OPVK-Rovné příl.dětí a ž.se sp.potř. II. - SR </t>
  </si>
  <si>
    <t xml:space="preserve">2GG1.3.OPVK-Další vzděl.prac.škol a zař.  II. - SR </t>
  </si>
  <si>
    <t xml:space="preserve">Digitální planetárium - SR </t>
  </si>
  <si>
    <t xml:space="preserve">OP LZZ Služby soc.prevence v KHK II - SR </t>
  </si>
  <si>
    <t xml:space="preserve">OP LZZ Podpora soc.integr.obyv.vylouč.lok.v KHK III - SR </t>
  </si>
  <si>
    <t>Modernizace a dostavba ON Náchod ( úvěr 300 mil.Kč)</t>
  </si>
  <si>
    <t>Saldo příjmů a výdajů</t>
  </si>
  <si>
    <t xml:space="preserve">OP Z Služby soc.prevence v KHK IV - SR </t>
  </si>
  <si>
    <t xml:space="preserve">   v tom: CIRI, PO</t>
  </si>
  <si>
    <t>nedaňové příjmy odv.evropské integr. a globální granty</t>
  </si>
  <si>
    <t>příjmy z pronájmu majetku -  odv. správa majetku kraje</t>
  </si>
  <si>
    <t>výstavba, moder., opravy a údržba silnic II.a III.tř.- SR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</si>
</sst>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_ ;\-#,##0.000\ "/>
    <numFmt numFmtId="176" formatCode="#,##0.000"/>
    <numFmt numFmtId="177" formatCode="#,##0.00;[Red]#,##0.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 style="thin"/>
      <right>
        <color indexed="63"/>
      </right>
      <top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6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5" fontId="4" fillId="0" borderId="11" xfId="38" applyNumberFormat="1" applyFont="1" applyBorder="1" applyAlignment="1">
      <alignment horizontal="center"/>
    </xf>
    <xf numFmtId="3" fontId="4" fillId="0" borderId="12" xfId="0" applyFont="1" applyBorder="1" applyAlignment="1">
      <alignment/>
    </xf>
    <xf numFmtId="3" fontId="5" fillId="0" borderId="12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Border="1" applyAlignment="1">
      <alignment/>
    </xf>
    <xf numFmtId="3" fontId="4" fillId="0" borderId="12" xfId="0" applyFont="1" applyBorder="1" applyAlignment="1">
      <alignment/>
    </xf>
    <xf numFmtId="3" fontId="5" fillId="0" borderId="12" xfId="0" applyFont="1" applyBorder="1" applyAlignment="1">
      <alignment/>
    </xf>
    <xf numFmtId="3" fontId="0" fillId="0" borderId="13" xfId="0" applyBorder="1" applyAlignment="1">
      <alignment/>
    </xf>
    <xf numFmtId="3" fontId="0" fillId="0" borderId="12" xfId="0" applyFont="1" applyBorder="1" applyAlignment="1">
      <alignment/>
    </xf>
    <xf numFmtId="3" fontId="3" fillId="0" borderId="14" xfId="0" applyFont="1" applyBorder="1" applyAlignment="1">
      <alignment vertical="center"/>
    </xf>
    <xf numFmtId="3" fontId="6" fillId="0" borderId="12" xfId="0" applyFont="1" applyBorder="1" applyAlignment="1">
      <alignment/>
    </xf>
    <xf numFmtId="3" fontId="6" fillId="0" borderId="12" xfId="0" applyFont="1" applyBorder="1" applyAlignment="1">
      <alignment/>
    </xf>
    <xf numFmtId="3" fontId="0" fillId="0" borderId="13" xfId="0" applyFont="1" applyBorder="1" applyAlignment="1">
      <alignment/>
    </xf>
    <xf numFmtId="3" fontId="7" fillId="0" borderId="12" xfId="0" applyFont="1" applyBorder="1" applyAlignment="1">
      <alignment/>
    </xf>
    <xf numFmtId="3" fontId="7" fillId="0" borderId="13" xfId="0" applyFont="1" applyBorder="1" applyAlignment="1">
      <alignment/>
    </xf>
    <xf numFmtId="3" fontId="0" fillId="0" borderId="13" xfId="0" applyFont="1" applyBorder="1" applyAlignment="1">
      <alignment/>
    </xf>
    <xf numFmtId="3" fontId="4" fillId="0" borderId="12" xfId="0" applyFont="1" applyFill="1" applyBorder="1" applyAlignment="1">
      <alignment/>
    </xf>
    <xf numFmtId="3" fontId="0" fillId="0" borderId="12" xfId="0" applyFill="1" applyBorder="1" applyAlignment="1">
      <alignment/>
    </xf>
    <xf numFmtId="3" fontId="4" fillId="0" borderId="14" xfId="0" applyFont="1" applyBorder="1" applyAlignment="1">
      <alignment/>
    </xf>
    <xf numFmtId="3" fontId="2" fillId="0" borderId="15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16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3" fontId="0" fillId="0" borderId="12" xfId="0" applyBorder="1" applyAlignment="1">
      <alignment vertical="center"/>
    </xf>
    <xf numFmtId="3" fontId="7" fillId="0" borderId="12" xfId="0" applyFont="1" applyBorder="1" applyAlignment="1">
      <alignment/>
    </xf>
    <xf numFmtId="3" fontId="4" fillId="0" borderId="12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4" xfId="0" applyBorder="1" applyAlignment="1">
      <alignment vertical="center"/>
    </xf>
    <xf numFmtId="166" fontId="4" fillId="0" borderId="18" xfId="38" applyNumberFormat="1" applyFont="1" applyBorder="1" applyAlignment="1">
      <alignment/>
    </xf>
    <xf numFmtId="3" fontId="47" fillId="0" borderId="0" xfId="0" applyFont="1" applyAlignment="1">
      <alignment/>
    </xf>
    <xf numFmtId="3" fontId="7" fillId="0" borderId="19" xfId="0" applyFont="1" applyBorder="1" applyAlignment="1">
      <alignment/>
    </xf>
    <xf numFmtId="3" fontId="4" fillId="0" borderId="20" xfId="0" applyFont="1" applyBorder="1" applyAlignment="1">
      <alignment horizontal="center" vertical="center"/>
    </xf>
    <xf numFmtId="3" fontId="0" fillId="0" borderId="21" xfId="0" applyBorder="1" applyAlignment="1">
      <alignment horizontal="center" vertical="center"/>
    </xf>
    <xf numFmtId="3" fontId="4" fillId="0" borderId="19" xfId="0" applyFont="1" applyBorder="1" applyAlignment="1">
      <alignment horizontal="left" vertical="center"/>
    </xf>
    <xf numFmtId="3" fontId="4" fillId="0" borderId="19" xfId="0" applyFont="1" applyBorder="1" applyAlignment="1">
      <alignment/>
    </xf>
    <xf numFmtId="3" fontId="5" fillId="0" borderId="19" xfId="0" applyFont="1" applyBorder="1" applyAlignment="1">
      <alignment/>
    </xf>
    <xf numFmtId="3" fontId="0" fillId="0" borderId="19" xfId="0" applyFont="1" applyBorder="1" applyAlignment="1">
      <alignment/>
    </xf>
    <xf numFmtId="3" fontId="0" fillId="0" borderId="19" xfId="0" applyBorder="1" applyAlignment="1">
      <alignment/>
    </xf>
    <xf numFmtId="3" fontId="4" fillId="0" borderId="19" xfId="0" applyFont="1" applyBorder="1" applyAlignment="1">
      <alignment/>
    </xf>
    <xf numFmtId="3" fontId="5" fillId="0" borderId="19" xfId="0" applyFont="1" applyBorder="1" applyAlignment="1">
      <alignment/>
    </xf>
    <xf numFmtId="3" fontId="0" fillId="0" borderId="19" xfId="0" applyFont="1" applyBorder="1" applyAlignment="1">
      <alignment/>
    </xf>
    <xf numFmtId="3" fontId="3" fillId="0" borderId="21" xfId="0" applyFont="1" applyBorder="1" applyAlignment="1">
      <alignment vertical="center"/>
    </xf>
    <xf numFmtId="3" fontId="7" fillId="0" borderId="19" xfId="0" applyFont="1" applyBorder="1" applyAlignment="1">
      <alignment horizontal="center"/>
    </xf>
    <xf numFmtId="3" fontId="0" fillId="0" borderId="12" xfId="0" applyFont="1" applyBorder="1" applyAlignment="1">
      <alignment/>
    </xf>
    <xf numFmtId="3" fontId="9" fillId="0" borderId="19" xfId="0" applyFont="1" applyBorder="1" applyAlignment="1">
      <alignment/>
    </xf>
    <xf numFmtId="3" fontId="7" fillId="0" borderId="22" xfId="0" applyFont="1" applyBorder="1" applyAlignment="1">
      <alignment horizontal="center"/>
    </xf>
    <xf numFmtId="3" fontId="9" fillId="0" borderId="19" xfId="0" applyFont="1" applyBorder="1" applyAlignment="1">
      <alignment horizontal="center"/>
    </xf>
    <xf numFmtId="3" fontId="9" fillId="0" borderId="19" xfId="0" applyFont="1" applyFill="1" applyBorder="1" applyAlignment="1">
      <alignment horizontal="center"/>
    </xf>
    <xf numFmtId="3" fontId="7" fillId="0" borderId="19" xfId="0" applyFont="1" applyFill="1" applyBorder="1" applyAlignment="1">
      <alignment horizontal="center"/>
    </xf>
    <xf numFmtId="3" fontId="9" fillId="0" borderId="15" xfId="0" applyFont="1" applyBorder="1" applyAlignment="1">
      <alignment horizontal="center" vertical="center"/>
    </xf>
    <xf numFmtId="3" fontId="9" fillId="0" borderId="16" xfId="0" applyFont="1" applyBorder="1" applyAlignment="1">
      <alignment horizontal="center" vertical="center"/>
    </xf>
    <xf numFmtId="3" fontId="9" fillId="0" borderId="12" xfId="0" applyFont="1" applyBorder="1" applyAlignment="1">
      <alignment horizontal="center" vertical="center"/>
    </xf>
    <xf numFmtId="3" fontId="9" fillId="0" borderId="14" xfId="0" applyFont="1" applyBorder="1" applyAlignment="1">
      <alignment horizontal="center" vertical="center"/>
    </xf>
    <xf numFmtId="3" fontId="7" fillId="0" borderId="12" xfId="0" applyFont="1" applyBorder="1" applyAlignment="1">
      <alignment horizontal="center" vertical="center"/>
    </xf>
    <xf numFmtId="3" fontId="7" fillId="0" borderId="19" xfId="0" applyFont="1" applyBorder="1" applyAlignment="1">
      <alignment horizontal="center" vertical="center"/>
    </xf>
    <xf numFmtId="3" fontId="7" fillId="0" borderId="21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1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17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4" fillId="0" borderId="11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17" xfId="38" applyNumberFormat="1" applyFont="1" applyBorder="1" applyAlignment="1">
      <alignment/>
    </xf>
    <xf numFmtId="174" fontId="3" fillId="0" borderId="23" xfId="38" applyNumberFormat="1" applyFont="1" applyBorder="1" applyAlignment="1">
      <alignment vertical="center"/>
    </xf>
    <xf numFmtId="174" fontId="6" fillId="0" borderId="11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0" fillId="0" borderId="24" xfId="38" applyNumberFormat="1" applyFont="1" applyBorder="1" applyAlignment="1">
      <alignment/>
    </xf>
    <xf numFmtId="174" fontId="0" fillId="0" borderId="25" xfId="38" applyNumberFormat="1" applyFont="1" applyBorder="1" applyAlignment="1">
      <alignment/>
    </xf>
    <xf numFmtId="174" fontId="6" fillId="0" borderId="11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11" xfId="38" applyNumberFormat="1" applyFont="1" applyFill="1" applyBorder="1" applyAlignment="1">
      <alignment/>
    </xf>
    <xf numFmtId="174" fontId="4" fillId="0" borderId="26" xfId="38" applyNumberFormat="1" applyFont="1" applyBorder="1" applyAlignment="1">
      <alignment/>
    </xf>
    <xf numFmtId="174" fontId="4" fillId="0" borderId="27" xfId="38" applyNumberFormat="1" applyFont="1" applyBorder="1" applyAlignment="1">
      <alignment/>
    </xf>
    <xf numFmtId="174" fontId="3" fillId="0" borderId="28" xfId="38" applyNumberFormat="1" applyFont="1" applyBorder="1" applyAlignment="1">
      <alignment vertical="center"/>
    </xf>
    <xf numFmtId="174" fontId="2" fillId="0" borderId="29" xfId="38" applyNumberFormat="1" applyFont="1" applyBorder="1" applyAlignment="1">
      <alignment vertical="center"/>
    </xf>
    <xf numFmtId="174" fontId="8" fillId="0" borderId="17" xfId="38" applyNumberFormat="1" applyFont="1" applyBorder="1" applyAlignment="1">
      <alignment vertical="center"/>
    </xf>
    <xf numFmtId="174" fontId="8" fillId="0" borderId="30" xfId="38" applyNumberFormat="1" applyFont="1" applyBorder="1" applyAlignment="1">
      <alignment vertical="center"/>
    </xf>
    <xf numFmtId="174" fontId="8" fillId="0" borderId="11" xfId="38" applyNumberFormat="1" applyFont="1" applyBorder="1" applyAlignment="1">
      <alignment vertical="center"/>
    </xf>
    <xf numFmtId="174" fontId="8" fillId="0" borderId="10" xfId="38" applyNumberFormat="1" applyFont="1" applyFill="1" applyBorder="1" applyAlignment="1">
      <alignment vertical="center"/>
    </xf>
    <xf numFmtId="174" fontId="8" fillId="0" borderId="10" xfId="38" applyNumberFormat="1" applyFont="1" applyBorder="1" applyAlignment="1">
      <alignment vertical="center"/>
    </xf>
    <xf numFmtId="174" fontId="8" fillId="0" borderId="31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2" fillId="0" borderId="28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2" fillId="0" borderId="30" xfId="38" applyNumberFormat="1" applyFont="1" applyBorder="1" applyAlignment="1">
      <alignment vertical="center"/>
    </xf>
    <xf numFmtId="174" fontId="2" fillId="0" borderId="32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2" fillId="0" borderId="33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2" fillId="0" borderId="31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8" fillId="0" borderId="23" xfId="38" applyNumberFormat="1" applyFont="1" applyBorder="1" applyAlignment="1">
      <alignment vertical="center"/>
    </xf>
    <xf numFmtId="174" fontId="2" fillId="0" borderId="34" xfId="38" applyNumberFormat="1" applyFont="1" applyBorder="1" applyAlignment="1">
      <alignment vertical="center"/>
    </xf>
    <xf numFmtId="174" fontId="3" fillId="0" borderId="34" xfId="38" applyNumberFormat="1" applyFont="1" applyBorder="1" applyAlignment="1">
      <alignment vertical="center"/>
    </xf>
    <xf numFmtId="174" fontId="2" fillId="0" borderId="35" xfId="38" applyNumberFormat="1" applyFont="1" applyBorder="1" applyAlignment="1">
      <alignment vertical="center"/>
    </xf>
    <xf numFmtId="174" fontId="2" fillId="0" borderId="11" xfId="38" applyNumberFormat="1" applyFont="1" applyBorder="1" applyAlignment="1">
      <alignment vertical="center"/>
    </xf>
    <xf numFmtId="174" fontId="2" fillId="0" borderId="23" xfId="38" applyNumberFormat="1" applyFont="1" applyBorder="1" applyAlignment="1">
      <alignment vertical="center"/>
    </xf>
    <xf numFmtId="174" fontId="3" fillId="0" borderId="11" xfId="38" applyNumberFormat="1" applyFont="1" applyBorder="1" applyAlignment="1">
      <alignment vertical="center"/>
    </xf>
    <xf numFmtId="174" fontId="4" fillId="0" borderId="19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74" fontId="0" fillId="0" borderId="36" xfId="38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174" fontId="0" fillId="0" borderId="11" xfId="0" applyNumberFormat="1" applyBorder="1" applyAlignment="1">
      <alignment/>
    </xf>
    <xf numFmtId="174" fontId="7" fillId="0" borderId="11" xfId="38" applyNumberFormat="1" applyFont="1" applyBorder="1" applyAlignment="1">
      <alignment/>
    </xf>
    <xf numFmtId="174" fontId="0" fillId="0" borderId="17" xfId="38" applyNumberFormat="1" applyFont="1" applyFill="1" applyBorder="1" applyAlignment="1">
      <alignment/>
    </xf>
    <xf numFmtId="174" fontId="4" fillId="0" borderId="37" xfId="38" applyNumberFormat="1" applyFont="1" applyBorder="1" applyAlignment="1">
      <alignment/>
    </xf>
    <xf numFmtId="174" fontId="0" fillId="0" borderId="38" xfId="38" applyNumberFormat="1" applyFont="1" applyBorder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4" fontId="0" fillId="0" borderId="38" xfId="38" applyNumberFormat="1" applyFont="1" applyFill="1" applyBorder="1" applyAlignment="1">
      <alignment/>
    </xf>
    <xf numFmtId="174" fontId="0" fillId="0" borderId="19" xfId="38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174" fontId="7" fillId="0" borderId="10" xfId="38" applyNumberFormat="1" applyFont="1" applyBorder="1" applyAlignment="1">
      <alignment/>
    </xf>
    <xf numFmtId="3" fontId="5" fillId="0" borderId="19" xfId="0" applyFont="1" applyBorder="1" applyAlignment="1">
      <alignment horizontal="center"/>
    </xf>
    <xf numFmtId="174" fontId="0" fillId="0" borderId="18" xfId="38" applyNumberFormat="1" applyFont="1" applyBorder="1" applyAlignment="1">
      <alignment/>
    </xf>
    <xf numFmtId="165" fontId="4" fillId="0" borderId="18" xfId="38" applyNumberFormat="1" applyFont="1" applyBorder="1" applyAlignment="1">
      <alignment horizontal="center"/>
    </xf>
    <xf numFmtId="174" fontId="4" fillId="0" borderId="18" xfId="38" applyNumberFormat="1" applyFont="1" applyBorder="1" applyAlignment="1">
      <alignment/>
    </xf>
    <xf numFmtId="174" fontId="4" fillId="0" borderId="18" xfId="38" applyNumberFormat="1" applyFont="1" applyBorder="1" applyAlignment="1">
      <alignment/>
    </xf>
    <xf numFmtId="174" fontId="6" fillId="0" borderId="18" xfId="38" applyNumberFormat="1" applyFont="1" applyBorder="1" applyAlignment="1">
      <alignment/>
    </xf>
    <xf numFmtId="174" fontId="6" fillId="0" borderId="18" xfId="38" applyNumberFormat="1" applyFont="1" applyBorder="1" applyAlignment="1">
      <alignment/>
    </xf>
    <xf numFmtId="174" fontId="0" fillId="0" borderId="18" xfId="38" applyNumberFormat="1" applyFont="1" applyFill="1" applyBorder="1" applyAlignment="1">
      <alignment/>
    </xf>
    <xf numFmtId="174" fontId="4" fillId="0" borderId="39" xfId="38" applyNumberFormat="1" applyFont="1" applyBorder="1" applyAlignment="1">
      <alignment/>
    </xf>
    <xf numFmtId="174" fontId="2" fillId="0" borderId="40" xfId="38" applyNumberFormat="1" applyFont="1" applyBorder="1" applyAlignment="1">
      <alignment vertical="center"/>
    </xf>
    <xf numFmtId="174" fontId="3" fillId="0" borderId="40" xfId="38" applyNumberFormat="1" applyFont="1" applyBorder="1" applyAlignment="1">
      <alignment vertical="center"/>
    </xf>
    <xf numFmtId="174" fontId="2" fillId="0" borderId="18" xfId="38" applyNumberFormat="1" applyFont="1" applyBorder="1" applyAlignment="1">
      <alignment vertical="center"/>
    </xf>
    <xf numFmtId="174" fontId="2" fillId="0" borderId="41" xfId="38" applyNumberFormat="1" applyFont="1" applyBorder="1" applyAlignment="1">
      <alignment vertical="center"/>
    </xf>
    <xf numFmtId="3" fontId="0" fillId="0" borderId="13" xfId="0" applyFont="1" applyBorder="1" applyAlignment="1">
      <alignment/>
    </xf>
    <xf numFmtId="174" fontId="4" fillId="0" borderId="36" xfId="38" applyNumberFormat="1" applyFont="1" applyBorder="1" applyAlignment="1">
      <alignment/>
    </xf>
    <xf numFmtId="174" fontId="0" fillId="0" borderId="42" xfId="38" applyNumberFormat="1" applyFont="1" applyBorder="1" applyAlignment="1">
      <alignment/>
    </xf>
    <xf numFmtId="174" fontId="0" fillId="0" borderId="25" xfId="38" applyNumberFormat="1" applyFont="1" applyFill="1" applyBorder="1" applyAlignment="1">
      <alignment/>
    </xf>
    <xf numFmtId="174" fontId="4" fillId="0" borderId="39" xfId="38" applyNumberFormat="1" applyFont="1" applyBorder="1" applyAlignment="1">
      <alignment/>
    </xf>
    <xf numFmtId="174" fontId="2" fillId="0" borderId="43" xfId="38" applyNumberFormat="1" applyFont="1" applyBorder="1" applyAlignment="1">
      <alignment vertical="center"/>
    </xf>
    <xf numFmtId="174" fontId="8" fillId="0" borderId="18" xfId="38" applyNumberFormat="1" applyFont="1" applyBorder="1" applyAlignment="1">
      <alignment vertical="center"/>
    </xf>
    <xf numFmtId="174" fontId="8" fillId="0" borderId="41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/>
    </xf>
    <xf numFmtId="174" fontId="0" fillId="0" borderId="44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74" fontId="0" fillId="0" borderId="24" xfId="38" applyNumberFormat="1" applyFont="1" applyFill="1" applyBorder="1" applyAlignment="1">
      <alignment/>
    </xf>
    <xf numFmtId="174" fontId="0" fillId="0" borderId="34" xfId="38" applyNumberFormat="1" applyFont="1" applyBorder="1" applyAlignment="1">
      <alignment vertical="center"/>
    </xf>
    <xf numFmtId="165" fontId="4" fillId="0" borderId="16" xfId="38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166" fontId="4" fillId="0" borderId="12" xfId="0" applyNumberFormat="1" applyFont="1" applyBorder="1" applyAlignment="1">
      <alignment/>
    </xf>
    <xf numFmtId="3" fontId="4" fillId="0" borderId="16" xfId="0" applyFont="1" applyFill="1" applyBorder="1" applyAlignment="1">
      <alignment horizontal="center"/>
    </xf>
    <xf numFmtId="3" fontId="4" fillId="0" borderId="14" xfId="0" applyFont="1" applyFill="1" applyBorder="1" applyAlignment="1">
      <alignment horizontal="center"/>
    </xf>
    <xf numFmtId="166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4" fillId="0" borderId="12" xfId="38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4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0" fillId="0" borderId="12" xfId="38" applyNumberFormat="1" applyFont="1" applyFill="1" applyBorder="1" applyAlignment="1">
      <alignment/>
    </xf>
    <xf numFmtId="4" fontId="6" fillId="0" borderId="12" xfId="38" applyNumberFormat="1" applyFont="1" applyFill="1" applyBorder="1" applyAlignment="1">
      <alignment/>
    </xf>
    <xf numFmtId="174" fontId="4" fillId="0" borderId="12" xfId="38" applyNumberFormat="1" applyFont="1" applyBorder="1" applyAlignment="1">
      <alignment/>
    </xf>
    <xf numFmtId="174" fontId="0" fillId="0" borderId="12" xfId="38" applyNumberFormat="1" applyFont="1" applyBorder="1" applyAlignment="1">
      <alignment/>
    </xf>
    <xf numFmtId="4" fontId="2" fillId="0" borderId="12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166" fontId="0" fillId="0" borderId="14" xfId="0" applyNumberFormat="1" applyFont="1" applyBorder="1" applyAlignment="1">
      <alignment/>
    </xf>
    <xf numFmtId="165" fontId="4" fillId="0" borderId="20" xfId="38" applyNumberFormat="1" applyFont="1" applyFill="1" applyBorder="1" applyAlignment="1">
      <alignment horizontal="center"/>
    </xf>
    <xf numFmtId="165" fontId="4" fillId="0" borderId="21" xfId="38" applyNumberFormat="1" applyFont="1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4" fillId="0" borderId="19" xfId="38" applyNumberFormat="1" applyFon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9" xfId="38" applyNumberFormat="1" applyFont="1" applyBorder="1" applyAlignment="1">
      <alignment/>
    </xf>
    <xf numFmtId="4" fontId="4" fillId="0" borderId="19" xfId="38" applyNumberFormat="1" applyFont="1" applyBorder="1" applyAlignment="1">
      <alignment/>
    </xf>
    <xf numFmtId="174" fontId="3" fillId="0" borderId="21" xfId="38" applyNumberFormat="1" applyFont="1" applyBorder="1" applyAlignment="1">
      <alignment vertical="center"/>
    </xf>
    <xf numFmtId="4" fontId="6" fillId="0" borderId="19" xfId="38" applyNumberFormat="1" applyFont="1" applyBorder="1" applyAlignment="1">
      <alignment/>
    </xf>
    <xf numFmtId="4" fontId="6" fillId="0" borderId="19" xfId="38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38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4" fillId="0" borderId="45" xfId="38" applyNumberFormat="1" applyFont="1" applyBorder="1" applyAlignment="1">
      <alignment/>
    </xf>
    <xf numFmtId="174" fontId="4" fillId="0" borderId="44" xfId="38" applyNumberFormat="1" applyFont="1" applyBorder="1" applyAlignment="1">
      <alignment/>
    </xf>
    <xf numFmtId="174" fontId="0" fillId="0" borderId="19" xfId="38" applyNumberFormat="1" applyFont="1" applyBorder="1" applyAlignment="1">
      <alignment/>
    </xf>
    <xf numFmtId="4" fontId="2" fillId="0" borderId="46" xfId="38" applyNumberFormat="1" applyFont="1" applyBorder="1" applyAlignment="1">
      <alignment vertical="center"/>
    </xf>
    <xf numFmtId="4" fontId="3" fillId="0" borderId="46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2" fillId="0" borderId="21" xfId="38" applyNumberFormat="1" applyFont="1" applyBorder="1" applyAlignment="1">
      <alignment vertical="center"/>
    </xf>
    <xf numFmtId="4" fontId="0" fillId="0" borderId="21" xfId="0" applyNumberFormat="1" applyBorder="1" applyAlignment="1">
      <alignment/>
    </xf>
    <xf numFmtId="174" fontId="3" fillId="0" borderId="14" xfId="38" applyNumberFormat="1" applyFont="1" applyBorder="1" applyAlignment="1">
      <alignment vertical="center"/>
    </xf>
    <xf numFmtId="4" fontId="0" fillId="0" borderId="13" xfId="0" applyNumberFormat="1" applyBorder="1" applyAlignment="1">
      <alignment/>
    </xf>
    <xf numFmtId="4" fontId="6" fillId="0" borderId="12" xfId="38" applyNumberFormat="1" applyFont="1" applyFill="1" applyBorder="1" applyAlignment="1">
      <alignment/>
    </xf>
    <xf numFmtId="4" fontId="4" fillId="0" borderId="47" xfId="38" applyNumberFormat="1" applyFont="1" applyBorder="1" applyAlignment="1">
      <alignment/>
    </xf>
    <xf numFmtId="4" fontId="2" fillId="0" borderId="15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166" fontId="4" fillId="0" borderId="14" xfId="0" applyNumberFormat="1" applyFont="1" applyBorder="1" applyAlignment="1">
      <alignment/>
    </xf>
    <xf numFmtId="166" fontId="6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6" fillId="0" borderId="12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right"/>
    </xf>
    <xf numFmtId="4" fontId="0" fillId="0" borderId="13" xfId="0" applyNumberFormat="1" applyFill="1" applyBorder="1" applyAlignment="1">
      <alignment/>
    </xf>
    <xf numFmtId="4" fontId="4" fillId="0" borderId="14" xfId="38" applyNumberFormat="1" applyFont="1" applyBorder="1" applyAlignment="1">
      <alignment/>
    </xf>
    <xf numFmtId="4" fontId="0" fillId="0" borderId="15" xfId="0" applyNumberFormat="1" applyBorder="1" applyAlignment="1">
      <alignment/>
    </xf>
    <xf numFmtId="166" fontId="0" fillId="0" borderId="15" xfId="0" applyNumberFormat="1" applyFont="1" applyBorder="1" applyAlignment="1">
      <alignment/>
    </xf>
    <xf numFmtId="174" fontId="3" fillId="0" borderId="17" xfId="38" applyNumberFormat="1" applyFont="1" applyBorder="1" applyAlignment="1">
      <alignment vertical="center"/>
    </xf>
    <xf numFmtId="174" fontId="3" fillId="0" borderId="18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166" fontId="4" fillId="0" borderId="15" xfId="0" applyNumberFormat="1" applyFont="1" applyBorder="1" applyAlignment="1">
      <alignment/>
    </xf>
    <xf numFmtId="174" fontId="0" fillId="0" borderId="32" xfId="38" applyNumberFormat="1" applyFont="1" applyBorder="1" applyAlignment="1">
      <alignment vertical="center"/>
    </xf>
    <xf numFmtId="174" fontId="0" fillId="0" borderId="28" xfId="38" applyNumberFormat="1" applyFont="1" applyBorder="1" applyAlignment="1">
      <alignment vertical="center"/>
    </xf>
    <xf numFmtId="174" fontId="0" fillId="0" borderId="40" xfId="38" applyNumberFormat="1" applyFont="1" applyBorder="1" applyAlignment="1">
      <alignment vertical="center"/>
    </xf>
    <xf numFmtId="4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0" fillId="0" borderId="14" xfId="0" applyBorder="1" applyAlignment="1">
      <alignment/>
    </xf>
    <xf numFmtId="3" fontId="0" fillId="0" borderId="21" xfId="0" applyBorder="1" applyAlignment="1">
      <alignment/>
    </xf>
    <xf numFmtId="174" fontId="0" fillId="0" borderId="23" xfId="38" applyNumberFormat="1" applyFont="1" applyBorder="1" applyAlignment="1">
      <alignment/>
    </xf>
    <xf numFmtId="174" fontId="0" fillId="0" borderId="31" xfId="38" applyNumberFormat="1" applyFont="1" applyBorder="1" applyAlignment="1">
      <alignment/>
    </xf>
    <xf numFmtId="174" fontId="0" fillId="0" borderId="30" xfId="38" applyNumberFormat="1" applyFont="1" applyBorder="1" applyAlignment="1">
      <alignment/>
    </xf>
    <xf numFmtId="174" fontId="0" fillId="0" borderId="41" xfId="38" applyNumberFormat="1" applyFont="1" applyBorder="1" applyAlignment="1">
      <alignment/>
    </xf>
    <xf numFmtId="3" fontId="0" fillId="0" borderId="14" xfId="0" applyFont="1" applyBorder="1" applyAlignment="1">
      <alignment/>
    </xf>
    <xf numFmtId="3" fontId="7" fillId="0" borderId="21" xfId="0" applyFont="1" applyBorder="1" applyAlignment="1">
      <alignment horizontal="center"/>
    </xf>
    <xf numFmtId="174" fontId="0" fillId="0" borderId="23" xfId="38" applyNumberFormat="1" applyFont="1" applyFill="1" applyBorder="1" applyAlignment="1">
      <alignment/>
    </xf>
    <xf numFmtId="174" fontId="0" fillId="0" borderId="31" xfId="38" applyNumberFormat="1" applyFont="1" applyFill="1" applyBorder="1" applyAlignment="1">
      <alignment/>
    </xf>
    <xf numFmtId="174" fontId="0" fillId="0" borderId="23" xfId="38" applyNumberFormat="1" applyFont="1" applyBorder="1" applyAlignment="1">
      <alignment/>
    </xf>
    <xf numFmtId="3" fontId="0" fillId="0" borderId="14" xfId="0" applyFont="1" applyBorder="1" applyAlignment="1">
      <alignment/>
    </xf>
    <xf numFmtId="166" fontId="4" fillId="0" borderId="15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3" fontId="10" fillId="9" borderId="0" xfId="0" applyFont="1" applyFill="1" applyAlignment="1">
      <alignment horizontal="center"/>
    </xf>
    <xf numFmtId="3" fontId="0" fillId="9" borderId="0" xfId="0" applyFill="1" applyAlignment="1">
      <alignment horizontal="center"/>
    </xf>
    <xf numFmtId="164" fontId="10" fillId="9" borderId="0" xfId="38" applyFont="1" applyFill="1" applyAlignment="1">
      <alignment horizontal="center"/>
    </xf>
    <xf numFmtId="3" fontId="0" fillId="9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3" fontId="0" fillId="0" borderId="0" xfId="0" applyAlignment="1">
      <alignment/>
    </xf>
    <xf numFmtId="3" fontId="0" fillId="0" borderId="0" xfId="0" applyAlignment="1">
      <alignment horizontal="right" vertical="top"/>
    </xf>
    <xf numFmtId="3" fontId="4" fillId="0" borderId="16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3" fontId="4" fillId="0" borderId="16" xfId="0" applyFont="1" applyFill="1" applyBorder="1" applyAlignment="1">
      <alignment horizontal="center" vertical="center"/>
    </xf>
    <xf numFmtId="3" fontId="4" fillId="0" borderId="1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3"/>
  <sheetViews>
    <sheetView tabSelected="1" zoomScaleSheetLayoutView="69" zoomScalePageLayoutView="0" workbookViewId="0" topLeftCell="A1">
      <pane xSplit="1" ySplit="7" topLeftCell="B53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54" sqref="A554"/>
    </sheetView>
  </sheetViews>
  <sheetFormatPr defaultColWidth="9.00390625" defaultRowHeight="12.75"/>
  <cols>
    <col min="1" max="1" width="51.375" style="0" customWidth="1"/>
    <col min="2" max="2" width="9.375" style="0" hidden="1" customWidth="1"/>
    <col min="3" max="3" width="15.50390625" style="0" customWidth="1"/>
    <col min="4" max="4" width="15.125" style="0" hidden="1" customWidth="1"/>
    <col min="5" max="5" width="12.875" style="0" hidden="1" customWidth="1"/>
    <col min="6" max="6" width="15.125" style="0" hidden="1" customWidth="1"/>
    <col min="7" max="7" width="13.00390625" style="0" hidden="1" customWidth="1"/>
    <col min="8" max="8" width="12.625" style="0" hidden="1" customWidth="1"/>
    <col min="9" max="9" width="16.125" style="0" hidden="1" customWidth="1"/>
    <col min="10" max="10" width="13.125" style="0" hidden="1" customWidth="1"/>
    <col min="11" max="11" width="12.875" style="0" hidden="1" customWidth="1"/>
    <col min="12" max="12" width="16.625" style="0" hidden="1" customWidth="1"/>
    <col min="13" max="13" width="13.125" style="0" hidden="1" customWidth="1"/>
    <col min="14" max="14" width="13.50390625" style="0" hidden="1" customWidth="1"/>
    <col min="15" max="15" width="16.375" style="0" hidden="1" customWidth="1"/>
    <col min="16" max="16" width="13.375" style="0" hidden="1" customWidth="1"/>
    <col min="17" max="18" width="17.125" style="0" customWidth="1"/>
    <col min="19" max="19" width="8.375" style="0" customWidth="1"/>
    <col min="21" max="21" width="15.125" style="0" customWidth="1"/>
  </cols>
  <sheetData>
    <row r="1" spans="3:19" ht="12.75">
      <c r="C1" s="1"/>
      <c r="D1" s="1"/>
      <c r="E1" s="1"/>
      <c r="F1" s="2"/>
      <c r="I1" s="2"/>
      <c r="L1" s="2"/>
      <c r="O1" s="2"/>
      <c r="Q1" s="2"/>
      <c r="R1" s="251" t="s">
        <v>381</v>
      </c>
      <c r="S1" s="251"/>
    </row>
    <row r="2" spans="1:19" ht="22.5" customHeight="1">
      <c r="A2" s="245" t="s">
        <v>380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22.5" customHeight="1">
      <c r="A3" s="247" t="s">
        <v>382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</row>
    <row r="4" spans="1:19" ht="12.75">
      <c r="A4" s="249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13" ht="18" customHeight="1" thickBot="1">
      <c r="A5" s="3"/>
      <c r="B5" s="3"/>
      <c r="C5" s="4"/>
      <c r="D5" s="122"/>
      <c r="E5" s="4"/>
      <c r="F5" s="4"/>
      <c r="G5" s="38"/>
      <c r="J5" s="42"/>
      <c r="M5" s="38"/>
    </row>
    <row r="6" spans="1:19" ht="12.75">
      <c r="A6" s="252" t="s">
        <v>1</v>
      </c>
      <c r="B6" s="44" t="s">
        <v>244</v>
      </c>
      <c r="C6" s="162" t="s">
        <v>2</v>
      </c>
      <c r="D6" s="162" t="s">
        <v>3</v>
      </c>
      <c r="E6" s="162" t="s">
        <v>4</v>
      </c>
      <c r="F6" s="162" t="s">
        <v>5</v>
      </c>
      <c r="G6" s="162" t="s">
        <v>6</v>
      </c>
      <c r="H6" s="162" t="s">
        <v>4</v>
      </c>
      <c r="I6" s="162" t="s">
        <v>5</v>
      </c>
      <c r="J6" s="162" t="s">
        <v>7</v>
      </c>
      <c r="K6" s="162" t="s">
        <v>4</v>
      </c>
      <c r="L6" s="162" t="s">
        <v>5</v>
      </c>
      <c r="M6" s="162" t="s">
        <v>8</v>
      </c>
      <c r="N6" s="162" t="s">
        <v>4</v>
      </c>
      <c r="O6" s="162" t="s">
        <v>5</v>
      </c>
      <c r="P6" s="185" t="s">
        <v>218</v>
      </c>
      <c r="Q6" s="162" t="s">
        <v>377</v>
      </c>
      <c r="R6" s="166" t="s">
        <v>378</v>
      </c>
      <c r="S6" s="254" t="s">
        <v>379</v>
      </c>
    </row>
    <row r="7" spans="1:19" ht="13.5" thickBot="1">
      <c r="A7" s="253"/>
      <c r="B7" s="45" t="s">
        <v>245</v>
      </c>
      <c r="C7" s="163" t="s">
        <v>9</v>
      </c>
      <c r="D7" s="163" t="s">
        <v>10</v>
      </c>
      <c r="E7" s="163" t="s">
        <v>11</v>
      </c>
      <c r="F7" s="163" t="s">
        <v>12</v>
      </c>
      <c r="G7" s="163" t="s">
        <v>10</v>
      </c>
      <c r="H7" s="163" t="s">
        <v>11</v>
      </c>
      <c r="I7" s="163" t="s">
        <v>13</v>
      </c>
      <c r="J7" s="163" t="s">
        <v>10</v>
      </c>
      <c r="K7" s="163" t="s">
        <v>11</v>
      </c>
      <c r="L7" s="163" t="s">
        <v>14</v>
      </c>
      <c r="M7" s="163" t="s">
        <v>10</v>
      </c>
      <c r="N7" s="163" t="s">
        <v>11</v>
      </c>
      <c r="O7" s="163" t="s">
        <v>15</v>
      </c>
      <c r="P7" s="186" t="s">
        <v>10</v>
      </c>
      <c r="Q7" s="163" t="s">
        <v>9</v>
      </c>
      <c r="R7" s="167" t="s">
        <v>383</v>
      </c>
      <c r="S7" s="255"/>
    </row>
    <row r="8" spans="1:19" ht="15.75" customHeight="1">
      <c r="A8" s="36" t="s">
        <v>16</v>
      </c>
      <c r="B8" s="46"/>
      <c r="C8" s="9"/>
      <c r="D8" s="5"/>
      <c r="E8" s="5"/>
      <c r="F8" s="37"/>
      <c r="G8" s="9"/>
      <c r="H8" s="5"/>
      <c r="I8" s="37"/>
      <c r="J8" s="9"/>
      <c r="K8" s="5"/>
      <c r="L8" s="137"/>
      <c r="M8" s="9"/>
      <c r="N8" s="5"/>
      <c r="O8" s="37"/>
      <c r="P8" s="50"/>
      <c r="Q8" s="13"/>
      <c r="R8" s="13"/>
      <c r="S8" s="13"/>
    </row>
    <row r="9" spans="1:19" ht="12.75">
      <c r="A9" s="10" t="s">
        <v>17</v>
      </c>
      <c r="B9" s="47"/>
      <c r="C9" s="70">
        <v>3065000</v>
      </c>
      <c r="D9" s="71">
        <v>25369.72</v>
      </c>
      <c r="E9" s="71"/>
      <c r="F9" s="72">
        <f>C9+D9+E9</f>
        <v>3090369.72</v>
      </c>
      <c r="G9" s="7"/>
      <c r="H9" s="71">
        <v>23500.84</v>
      </c>
      <c r="I9" s="72">
        <f>F9+G9+H9</f>
        <v>3113870.56</v>
      </c>
      <c r="J9" s="70">
        <v>26494.7</v>
      </c>
      <c r="K9" s="6"/>
      <c r="L9" s="138">
        <f>I9+J9+K9</f>
        <v>3140365.2600000002</v>
      </c>
      <c r="M9" s="70">
        <f>8300+16050</f>
        <v>24350</v>
      </c>
      <c r="N9" s="71"/>
      <c r="O9" s="72">
        <f>L9+M9+N9</f>
        <v>3164715.2600000002</v>
      </c>
      <c r="P9" s="187">
        <v>0</v>
      </c>
      <c r="Q9" s="170">
        <f>O9+P9</f>
        <v>3164715.2600000002</v>
      </c>
      <c r="R9" s="170">
        <v>3387862.46</v>
      </c>
      <c r="S9" s="165">
        <f>R9/Q9*100</f>
        <v>107.05109880880721</v>
      </c>
    </row>
    <row r="10" spans="1:19" ht="12.75">
      <c r="A10" s="11" t="s">
        <v>18</v>
      </c>
      <c r="B10" s="48"/>
      <c r="C10" s="70"/>
      <c r="D10" s="71"/>
      <c r="E10" s="71"/>
      <c r="F10" s="72"/>
      <c r="G10" s="7"/>
      <c r="H10" s="71"/>
      <c r="I10" s="72"/>
      <c r="J10" s="7"/>
      <c r="K10" s="6"/>
      <c r="L10" s="41"/>
      <c r="M10" s="70"/>
      <c r="N10" s="71"/>
      <c r="O10" s="72"/>
      <c r="P10" s="187"/>
      <c r="Q10" s="171"/>
      <c r="R10" s="171"/>
      <c r="S10" s="13"/>
    </row>
    <row r="11" spans="1:19" ht="12.75">
      <c r="A11" s="12" t="s">
        <v>19</v>
      </c>
      <c r="B11" s="49"/>
      <c r="C11" s="70"/>
      <c r="D11" s="73">
        <v>25369.72</v>
      </c>
      <c r="E11" s="73"/>
      <c r="F11" s="74">
        <f>C11+D11+E11</f>
        <v>25369.72</v>
      </c>
      <c r="G11" s="8"/>
      <c r="H11" s="71"/>
      <c r="I11" s="74">
        <f>F11+G11+H11</f>
        <v>25369.72</v>
      </c>
      <c r="J11" s="8"/>
      <c r="K11" s="6"/>
      <c r="L11" s="136">
        <f>I11+J11+K11</f>
        <v>25369.72</v>
      </c>
      <c r="M11" s="75"/>
      <c r="N11" s="71"/>
      <c r="O11" s="74">
        <f>L11+M11+N11</f>
        <v>25369.72</v>
      </c>
      <c r="P11" s="187"/>
      <c r="Q11" s="171">
        <f>O11+P11</f>
        <v>25369.72</v>
      </c>
      <c r="R11" s="171">
        <v>25369.72</v>
      </c>
      <c r="S11" s="168">
        <f>R11/Q11*100</f>
        <v>100</v>
      </c>
    </row>
    <row r="12" spans="1:19" ht="12.75">
      <c r="A12" s="56" t="s">
        <v>373</v>
      </c>
      <c r="B12" s="49"/>
      <c r="C12" s="70"/>
      <c r="D12" s="73"/>
      <c r="E12" s="73"/>
      <c r="F12" s="74"/>
      <c r="G12" s="8"/>
      <c r="H12" s="71"/>
      <c r="I12" s="74"/>
      <c r="J12" s="8"/>
      <c r="K12" s="6"/>
      <c r="L12" s="136"/>
      <c r="M12" s="75"/>
      <c r="N12" s="71"/>
      <c r="O12" s="74"/>
      <c r="P12" s="187"/>
      <c r="Q12" s="171"/>
      <c r="R12" s="171">
        <v>1328.49</v>
      </c>
      <c r="S12" s="169" t="s">
        <v>384</v>
      </c>
    </row>
    <row r="13" spans="1:19" ht="12.75">
      <c r="A13" s="10" t="s">
        <v>20</v>
      </c>
      <c r="B13" s="47"/>
      <c r="C13" s="70">
        <f aca="true" t="shared" si="0" ref="C13:Q13">SUM(C15:C41)+C48</f>
        <v>254216</v>
      </c>
      <c r="D13" s="71">
        <f t="shared" si="0"/>
        <v>9656.22</v>
      </c>
      <c r="E13" s="71">
        <f t="shared" si="0"/>
        <v>0</v>
      </c>
      <c r="F13" s="72">
        <f t="shared" si="0"/>
        <v>263872.22</v>
      </c>
      <c r="G13" s="70">
        <f t="shared" si="0"/>
        <v>30512.75</v>
      </c>
      <c r="H13" s="71">
        <f t="shared" si="0"/>
        <v>1057.53</v>
      </c>
      <c r="I13" s="72">
        <f t="shared" si="0"/>
        <v>295442.50000000006</v>
      </c>
      <c r="J13" s="70">
        <f t="shared" si="0"/>
        <v>22156.910000000003</v>
      </c>
      <c r="K13" s="71">
        <f t="shared" si="0"/>
        <v>0</v>
      </c>
      <c r="L13" s="138">
        <f t="shared" si="0"/>
        <v>317599.41000000003</v>
      </c>
      <c r="M13" s="70">
        <f t="shared" si="0"/>
        <v>41981.74</v>
      </c>
      <c r="N13" s="71">
        <f t="shared" si="0"/>
        <v>0</v>
      </c>
      <c r="O13" s="72">
        <f t="shared" si="0"/>
        <v>359581.15</v>
      </c>
      <c r="P13" s="188">
        <f t="shared" si="0"/>
        <v>71770.70999999999</v>
      </c>
      <c r="Q13" s="172">
        <f t="shared" si="0"/>
        <v>431351.86000000004</v>
      </c>
      <c r="R13" s="172">
        <f>SUM(R15:R41)+R48</f>
        <v>428264.18000000005</v>
      </c>
      <c r="S13" s="165">
        <f aca="true" t="shared" si="1" ref="S13:S75">R13/Q13*100</f>
        <v>99.28418530524013</v>
      </c>
    </row>
    <row r="14" spans="1:19" ht="10.5" customHeight="1">
      <c r="A14" s="11" t="s">
        <v>21</v>
      </c>
      <c r="B14" s="48"/>
      <c r="C14" s="70"/>
      <c r="D14" s="71"/>
      <c r="E14" s="71"/>
      <c r="F14" s="72"/>
      <c r="G14" s="70"/>
      <c r="H14" s="71"/>
      <c r="I14" s="72"/>
      <c r="J14" s="70"/>
      <c r="K14" s="71"/>
      <c r="L14" s="138"/>
      <c r="M14" s="70"/>
      <c r="N14" s="71"/>
      <c r="O14" s="72"/>
      <c r="P14" s="187"/>
      <c r="Q14" s="171"/>
      <c r="R14" s="171"/>
      <c r="S14" s="168"/>
    </row>
    <row r="15" spans="1:19" ht="12.75">
      <c r="A15" s="12" t="s">
        <v>22</v>
      </c>
      <c r="B15" s="49"/>
      <c r="C15" s="75">
        <v>4000</v>
      </c>
      <c r="D15" s="73"/>
      <c r="E15" s="73"/>
      <c r="F15" s="74">
        <f>C15+D15+E15</f>
        <v>4000</v>
      </c>
      <c r="G15" s="75"/>
      <c r="H15" s="73"/>
      <c r="I15" s="74">
        <f aca="true" t="shared" si="2" ref="I15:I39">F15+G15+H15</f>
        <v>4000</v>
      </c>
      <c r="J15" s="75"/>
      <c r="K15" s="73"/>
      <c r="L15" s="136">
        <f>I15+J15+K15</f>
        <v>4000</v>
      </c>
      <c r="M15" s="75"/>
      <c r="N15" s="73"/>
      <c r="O15" s="74">
        <f>L15+M15+N15</f>
        <v>4000</v>
      </c>
      <c r="P15" s="187"/>
      <c r="Q15" s="171">
        <f aca="true" t="shared" si="3" ref="Q15:Q40">O15+P15</f>
        <v>4000</v>
      </c>
      <c r="R15" s="171">
        <v>1500.84</v>
      </c>
      <c r="S15" s="168">
        <f t="shared" si="1"/>
        <v>37.521</v>
      </c>
    </row>
    <row r="16" spans="1:19" ht="12.75">
      <c r="A16" s="12" t="s">
        <v>23</v>
      </c>
      <c r="B16" s="49"/>
      <c r="C16" s="75">
        <v>12000</v>
      </c>
      <c r="D16" s="73"/>
      <c r="E16" s="73"/>
      <c r="F16" s="74">
        <f aca="true" t="shared" si="4" ref="F16:F48">C16+D16+E16</f>
        <v>12000</v>
      </c>
      <c r="G16" s="75"/>
      <c r="H16" s="73"/>
      <c r="I16" s="74">
        <f t="shared" si="2"/>
        <v>12000</v>
      </c>
      <c r="J16" s="75">
        <f>630.12+1319.19</f>
        <v>1949.31</v>
      </c>
      <c r="K16" s="73"/>
      <c r="L16" s="136">
        <f aca="true" t="shared" si="5" ref="L16:L39">I16+J16+K16</f>
        <v>13949.31</v>
      </c>
      <c r="M16" s="75">
        <f>297.28+1623.88+2872.96+140.13+2916.37+2958.59+556.86</f>
        <v>11366.07</v>
      </c>
      <c r="N16" s="73"/>
      <c r="O16" s="74">
        <f>L16+M16+N16</f>
        <v>25315.379999999997</v>
      </c>
      <c r="P16" s="187">
        <f>-5835+1499.75+4542.78+238.92+2157.31+10428.13+86.1+2165.05+67.15+4766.45+1006.19+61.8+16569.94+171.82+6464.98</f>
        <v>44391.369999999995</v>
      </c>
      <c r="Q16" s="171">
        <f t="shared" si="3"/>
        <v>69706.75</v>
      </c>
      <c r="R16" s="171">
        <v>70817.69</v>
      </c>
      <c r="S16" s="168">
        <f t="shared" si="1"/>
        <v>101.59373374888372</v>
      </c>
    </row>
    <row r="17" spans="1:19" ht="12.75" hidden="1">
      <c r="A17" s="12" t="s">
        <v>24</v>
      </c>
      <c r="B17" s="49"/>
      <c r="C17" s="75"/>
      <c r="D17" s="73"/>
      <c r="E17" s="73"/>
      <c r="F17" s="74">
        <f t="shared" si="4"/>
        <v>0</v>
      </c>
      <c r="G17" s="75"/>
      <c r="H17" s="73"/>
      <c r="I17" s="74">
        <f t="shared" si="2"/>
        <v>0</v>
      </c>
      <c r="J17" s="75"/>
      <c r="K17" s="73"/>
      <c r="L17" s="136">
        <f t="shared" si="5"/>
        <v>0</v>
      </c>
      <c r="M17" s="75"/>
      <c r="N17" s="73"/>
      <c r="O17" s="74">
        <f aca="true" t="shared" si="6" ref="O17:O40">L17+M17+N17</f>
        <v>0</v>
      </c>
      <c r="P17" s="187"/>
      <c r="Q17" s="171">
        <f t="shared" si="3"/>
        <v>0</v>
      </c>
      <c r="R17" s="171"/>
      <c r="S17" s="168" t="e">
        <f t="shared" si="1"/>
        <v>#DIV/0!</v>
      </c>
    </row>
    <row r="18" spans="1:19" ht="12.75" hidden="1">
      <c r="A18" s="12" t="s">
        <v>25</v>
      </c>
      <c r="B18" s="49"/>
      <c r="C18" s="75"/>
      <c r="D18" s="73"/>
      <c r="E18" s="73"/>
      <c r="F18" s="74">
        <f t="shared" si="4"/>
        <v>0</v>
      </c>
      <c r="G18" s="75"/>
      <c r="H18" s="73"/>
      <c r="I18" s="74">
        <f t="shared" si="2"/>
        <v>0</v>
      </c>
      <c r="J18" s="75"/>
      <c r="K18" s="73"/>
      <c r="L18" s="136">
        <f t="shared" si="5"/>
        <v>0</v>
      </c>
      <c r="M18" s="75"/>
      <c r="N18" s="73"/>
      <c r="O18" s="74">
        <f t="shared" si="6"/>
        <v>0</v>
      </c>
      <c r="P18" s="187"/>
      <c r="Q18" s="171">
        <f t="shared" si="3"/>
        <v>0</v>
      </c>
      <c r="R18" s="171"/>
      <c r="S18" s="168" t="e">
        <f t="shared" si="1"/>
        <v>#DIV/0!</v>
      </c>
    </row>
    <row r="19" spans="1:19" ht="12.75">
      <c r="A19" s="12" t="s">
        <v>26</v>
      </c>
      <c r="B19" s="49"/>
      <c r="C19" s="75">
        <v>45000</v>
      </c>
      <c r="D19" s="73"/>
      <c r="E19" s="73"/>
      <c r="F19" s="74">
        <f t="shared" si="4"/>
        <v>45000</v>
      </c>
      <c r="G19" s="75"/>
      <c r="H19" s="73"/>
      <c r="I19" s="74">
        <f t="shared" si="2"/>
        <v>45000</v>
      </c>
      <c r="J19" s="75"/>
      <c r="K19" s="73"/>
      <c r="L19" s="136">
        <f t="shared" si="5"/>
        <v>45000</v>
      </c>
      <c r="M19" s="75"/>
      <c r="N19" s="73"/>
      <c r="O19" s="74">
        <f t="shared" si="6"/>
        <v>45000</v>
      </c>
      <c r="P19" s="187"/>
      <c r="Q19" s="171">
        <f t="shared" si="3"/>
        <v>45000</v>
      </c>
      <c r="R19" s="171">
        <v>30544.82</v>
      </c>
      <c r="S19" s="168">
        <f t="shared" si="1"/>
        <v>67.87737777777778</v>
      </c>
    </row>
    <row r="20" spans="1:19" ht="12.75">
      <c r="A20" s="13" t="s">
        <v>397</v>
      </c>
      <c r="B20" s="49"/>
      <c r="C20" s="75"/>
      <c r="D20" s="73">
        <f>836.36+9.18+65.65+87.67+130+2220+22.46+33.16</f>
        <v>3404.4799999999996</v>
      </c>
      <c r="E20" s="73"/>
      <c r="F20" s="74">
        <f t="shared" si="4"/>
        <v>3404.4799999999996</v>
      </c>
      <c r="G20" s="75">
        <f>781.38+3335+2654.95+2.37+855.03+2131.29+16.58</f>
        <v>9776.6</v>
      </c>
      <c r="H20" s="73"/>
      <c r="I20" s="74">
        <f t="shared" si="2"/>
        <v>13181.08</v>
      </c>
      <c r="J20" s="75">
        <f>4235+320.68+106.01+604.51+95.86+26.5</f>
        <v>5388.56</v>
      </c>
      <c r="K20" s="73"/>
      <c r="L20" s="136">
        <f t="shared" si="5"/>
        <v>18569.64</v>
      </c>
      <c r="M20" s="75">
        <f>-74.96+7164.24</f>
        <v>7089.28</v>
      </c>
      <c r="N20" s="73"/>
      <c r="O20" s="74">
        <f t="shared" si="6"/>
        <v>25658.92</v>
      </c>
      <c r="P20" s="189">
        <f>-2892.01</f>
        <v>-2892.01</v>
      </c>
      <c r="Q20" s="171">
        <f t="shared" si="3"/>
        <v>22766.909999999996</v>
      </c>
      <c r="R20" s="173">
        <v>25888.01</v>
      </c>
      <c r="S20" s="168">
        <f t="shared" si="1"/>
        <v>113.7089310758465</v>
      </c>
    </row>
    <row r="21" spans="1:19" ht="12.75">
      <c r="A21" s="13" t="s">
        <v>179</v>
      </c>
      <c r="B21" s="50"/>
      <c r="C21" s="75">
        <v>21718.9</v>
      </c>
      <c r="D21" s="73"/>
      <c r="E21" s="73"/>
      <c r="F21" s="74">
        <f t="shared" si="4"/>
        <v>21718.9</v>
      </c>
      <c r="G21" s="75">
        <f>1712.86</f>
        <v>1712.86</v>
      </c>
      <c r="H21" s="73"/>
      <c r="I21" s="74">
        <f t="shared" si="2"/>
        <v>23431.760000000002</v>
      </c>
      <c r="J21" s="75">
        <f>1857.8</f>
        <v>1857.8</v>
      </c>
      <c r="K21" s="73"/>
      <c r="L21" s="136">
        <f t="shared" si="5"/>
        <v>25289.56</v>
      </c>
      <c r="M21" s="75"/>
      <c r="N21" s="73"/>
      <c r="O21" s="74">
        <f t="shared" si="6"/>
        <v>25289.56</v>
      </c>
      <c r="P21" s="187"/>
      <c r="Q21" s="171">
        <f t="shared" si="3"/>
        <v>25289.56</v>
      </c>
      <c r="R21" s="171">
        <v>25050.06</v>
      </c>
      <c r="S21" s="168">
        <f t="shared" si="1"/>
        <v>99.05296889309264</v>
      </c>
    </row>
    <row r="22" spans="1:19" ht="12.75">
      <c r="A22" s="13" t="s">
        <v>192</v>
      </c>
      <c r="B22" s="50"/>
      <c r="C22" s="75">
        <v>58369.4</v>
      </c>
      <c r="D22" s="73"/>
      <c r="E22" s="73"/>
      <c r="F22" s="74">
        <f t="shared" si="4"/>
        <v>58369.4</v>
      </c>
      <c r="G22" s="75"/>
      <c r="H22" s="73"/>
      <c r="I22" s="74">
        <f t="shared" si="2"/>
        <v>58369.4</v>
      </c>
      <c r="J22" s="75"/>
      <c r="K22" s="73"/>
      <c r="L22" s="136">
        <f t="shared" si="5"/>
        <v>58369.4</v>
      </c>
      <c r="M22" s="75">
        <f>-8869.4</f>
        <v>-8869.4</v>
      </c>
      <c r="N22" s="73"/>
      <c r="O22" s="74">
        <f t="shared" si="6"/>
        <v>49500</v>
      </c>
      <c r="P22" s="187">
        <f>10500</f>
        <v>10500</v>
      </c>
      <c r="Q22" s="171">
        <f t="shared" si="3"/>
        <v>60000</v>
      </c>
      <c r="R22" s="171">
        <v>60000</v>
      </c>
      <c r="S22" s="168">
        <f t="shared" si="1"/>
        <v>100</v>
      </c>
    </row>
    <row r="23" spans="1:19" ht="12.75">
      <c r="A23" s="13" t="s">
        <v>363</v>
      </c>
      <c r="B23" s="50"/>
      <c r="C23" s="75"/>
      <c r="D23" s="73"/>
      <c r="E23" s="73"/>
      <c r="F23" s="74"/>
      <c r="G23" s="75"/>
      <c r="H23" s="73"/>
      <c r="I23" s="74"/>
      <c r="J23" s="75"/>
      <c r="K23" s="73"/>
      <c r="L23" s="136">
        <f t="shared" si="5"/>
        <v>0</v>
      </c>
      <c r="M23" s="75">
        <f>8700</f>
        <v>8700</v>
      </c>
      <c r="N23" s="73"/>
      <c r="O23" s="74">
        <f t="shared" si="6"/>
        <v>8700</v>
      </c>
      <c r="P23" s="187">
        <f>-1305</f>
        <v>-1305</v>
      </c>
      <c r="Q23" s="171">
        <f t="shared" si="3"/>
        <v>7395</v>
      </c>
      <c r="R23" s="171">
        <v>7395</v>
      </c>
      <c r="S23" s="168">
        <f t="shared" si="1"/>
        <v>100</v>
      </c>
    </row>
    <row r="24" spans="1:19" ht="12.75">
      <c r="A24" s="13" t="s">
        <v>398</v>
      </c>
      <c r="B24" s="50"/>
      <c r="C24" s="75"/>
      <c r="D24" s="73">
        <v>3000</v>
      </c>
      <c r="E24" s="73"/>
      <c r="F24" s="74">
        <f t="shared" si="4"/>
        <v>3000</v>
      </c>
      <c r="G24" s="75"/>
      <c r="H24" s="73"/>
      <c r="I24" s="74">
        <f t="shared" si="2"/>
        <v>3000</v>
      </c>
      <c r="J24" s="75"/>
      <c r="K24" s="73"/>
      <c r="L24" s="136">
        <f t="shared" si="5"/>
        <v>3000</v>
      </c>
      <c r="M24" s="75"/>
      <c r="N24" s="73"/>
      <c r="O24" s="74">
        <f t="shared" si="6"/>
        <v>3000</v>
      </c>
      <c r="P24" s="187"/>
      <c r="Q24" s="171">
        <f t="shared" si="3"/>
        <v>3000</v>
      </c>
      <c r="R24" s="171">
        <v>3720.14</v>
      </c>
      <c r="S24" s="168">
        <f t="shared" si="1"/>
        <v>124.00466666666665</v>
      </c>
    </row>
    <row r="25" spans="1:19" ht="12.75">
      <c r="A25" s="13" t="s">
        <v>27</v>
      </c>
      <c r="B25" s="50"/>
      <c r="C25" s="75"/>
      <c r="D25" s="73"/>
      <c r="E25" s="73"/>
      <c r="F25" s="74">
        <f t="shared" si="4"/>
        <v>0</v>
      </c>
      <c r="G25" s="75">
        <f>135</f>
        <v>135</v>
      </c>
      <c r="H25" s="73"/>
      <c r="I25" s="74">
        <f t="shared" si="2"/>
        <v>135</v>
      </c>
      <c r="J25" s="75">
        <f>1022+15</f>
        <v>1037</v>
      </c>
      <c r="K25" s="73"/>
      <c r="L25" s="136">
        <f t="shared" si="5"/>
        <v>1172</v>
      </c>
      <c r="M25" s="89"/>
      <c r="N25" s="73"/>
      <c r="O25" s="74">
        <f t="shared" si="6"/>
        <v>1172</v>
      </c>
      <c r="P25" s="187">
        <v>450</v>
      </c>
      <c r="Q25" s="171">
        <f t="shared" si="3"/>
        <v>1622</v>
      </c>
      <c r="R25" s="171">
        <v>1601.53</v>
      </c>
      <c r="S25" s="168">
        <f t="shared" si="1"/>
        <v>98.73797780517879</v>
      </c>
    </row>
    <row r="26" spans="1:19" ht="12.75" hidden="1">
      <c r="A26" s="13" t="s">
        <v>213</v>
      </c>
      <c r="B26" s="50"/>
      <c r="C26" s="75"/>
      <c r="D26" s="73"/>
      <c r="E26" s="73"/>
      <c r="F26" s="74">
        <f t="shared" si="4"/>
        <v>0</v>
      </c>
      <c r="G26" s="75"/>
      <c r="H26" s="73"/>
      <c r="I26" s="74">
        <f t="shared" si="2"/>
        <v>0</v>
      </c>
      <c r="J26" s="75"/>
      <c r="K26" s="73"/>
      <c r="L26" s="136">
        <f t="shared" si="5"/>
        <v>0</v>
      </c>
      <c r="M26" s="75"/>
      <c r="N26" s="73"/>
      <c r="O26" s="74">
        <f t="shared" si="6"/>
        <v>0</v>
      </c>
      <c r="P26" s="187"/>
      <c r="Q26" s="171">
        <f t="shared" si="3"/>
        <v>0</v>
      </c>
      <c r="R26" s="171"/>
      <c r="S26" s="168" t="e">
        <f t="shared" si="1"/>
        <v>#DIV/0!</v>
      </c>
    </row>
    <row r="27" spans="1:19" ht="12.75">
      <c r="A27" s="13" t="s">
        <v>318</v>
      </c>
      <c r="B27" s="50"/>
      <c r="C27" s="75"/>
      <c r="D27" s="73">
        <v>44.17</v>
      </c>
      <c r="E27" s="73"/>
      <c r="F27" s="74">
        <f t="shared" si="4"/>
        <v>44.17</v>
      </c>
      <c r="G27" s="75"/>
      <c r="H27" s="73"/>
      <c r="I27" s="74">
        <f t="shared" si="2"/>
        <v>44.17</v>
      </c>
      <c r="J27" s="75"/>
      <c r="K27" s="73"/>
      <c r="L27" s="136">
        <f t="shared" si="5"/>
        <v>44.17</v>
      </c>
      <c r="M27" s="75"/>
      <c r="N27" s="73"/>
      <c r="O27" s="74">
        <f t="shared" si="6"/>
        <v>44.17</v>
      </c>
      <c r="P27" s="187"/>
      <c r="Q27" s="171">
        <f t="shared" si="3"/>
        <v>44.17</v>
      </c>
      <c r="R27" s="171">
        <v>44.17</v>
      </c>
      <c r="S27" s="168">
        <f t="shared" si="1"/>
        <v>100</v>
      </c>
    </row>
    <row r="28" spans="1:19" ht="12.75">
      <c r="A28" s="13" t="s">
        <v>332</v>
      </c>
      <c r="B28" s="50"/>
      <c r="C28" s="75"/>
      <c r="D28" s="73"/>
      <c r="E28" s="73"/>
      <c r="F28" s="74">
        <f t="shared" si="4"/>
        <v>0</v>
      </c>
      <c r="G28" s="75">
        <v>41.56</v>
      </c>
      <c r="H28" s="73"/>
      <c r="I28" s="74">
        <f t="shared" si="2"/>
        <v>41.56</v>
      </c>
      <c r="J28" s="75"/>
      <c r="K28" s="73"/>
      <c r="L28" s="136">
        <f t="shared" si="5"/>
        <v>41.56</v>
      </c>
      <c r="M28" s="75"/>
      <c r="N28" s="73"/>
      <c r="O28" s="74">
        <f t="shared" si="6"/>
        <v>41.56</v>
      </c>
      <c r="P28" s="187"/>
      <c r="Q28" s="171">
        <f t="shared" si="3"/>
        <v>41.56</v>
      </c>
      <c r="R28" s="171">
        <v>41.56</v>
      </c>
      <c r="S28" s="168">
        <f t="shared" si="1"/>
        <v>100</v>
      </c>
    </row>
    <row r="29" spans="1:19" ht="12.75">
      <c r="A29" s="13" t="s">
        <v>337</v>
      </c>
      <c r="B29" s="50"/>
      <c r="C29" s="75"/>
      <c r="D29" s="73"/>
      <c r="E29" s="73"/>
      <c r="F29" s="74">
        <f t="shared" si="4"/>
        <v>0</v>
      </c>
      <c r="G29" s="75">
        <f>13.95</f>
        <v>13.95</v>
      </c>
      <c r="H29" s="73"/>
      <c r="I29" s="74">
        <f t="shared" si="2"/>
        <v>13.95</v>
      </c>
      <c r="J29" s="75"/>
      <c r="K29" s="73"/>
      <c r="L29" s="136">
        <f t="shared" si="5"/>
        <v>13.95</v>
      </c>
      <c r="M29" s="75"/>
      <c r="N29" s="73"/>
      <c r="O29" s="74">
        <f t="shared" si="6"/>
        <v>13.95</v>
      </c>
      <c r="P29" s="187"/>
      <c r="Q29" s="171">
        <f t="shared" si="3"/>
        <v>13.95</v>
      </c>
      <c r="R29" s="171">
        <v>24.43</v>
      </c>
      <c r="S29" s="168">
        <f t="shared" si="1"/>
        <v>175.12544802867384</v>
      </c>
    </row>
    <row r="30" spans="1:19" ht="12.75">
      <c r="A30" s="13" t="s">
        <v>193</v>
      </c>
      <c r="B30" s="50"/>
      <c r="C30" s="75"/>
      <c r="D30" s="73"/>
      <c r="E30" s="73"/>
      <c r="F30" s="74">
        <f t="shared" si="4"/>
        <v>0</v>
      </c>
      <c r="G30" s="75">
        <f>856.45</f>
        <v>856.45</v>
      </c>
      <c r="H30" s="73"/>
      <c r="I30" s="74">
        <f t="shared" si="2"/>
        <v>856.45</v>
      </c>
      <c r="J30" s="75"/>
      <c r="K30" s="73"/>
      <c r="L30" s="136">
        <f t="shared" si="5"/>
        <v>856.45</v>
      </c>
      <c r="M30" s="75"/>
      <c r="N30" s="73"/>
      <c r="O30" s="74">
        <f t="shared" si="6"/>
        <v>856.45</v>
      </c>
      <c r="P30" s="187"/>
      <c r="Q30" s="171">
        <f t="shared" si="3"/>
        <v>856.45</v>
      </c>
      <c r="R30" s="171">
        <v>2154.2</v>
      </c>
      <c r="S30" s="168">
        <f t="shared" si="1"/>
        <v>251.52665070932332</v>
      </c>
    </row>
    <row r="31" spans="1:19" ht="12.75">
      <c r="A31" s="13" t="s">
        <v>194</v>
      </c>
      <c r="B31" s="50"/>
      <c r="C31" s="75"/>
      <c r="D31" s="73"/>
      <c r="E31" s="73"/>
      <c r="F31" s="74">
        <f t="shared" si="4"/>
        <v>0</v>
      </c>
      <c r="G31" s="75"/>
      <c r="H31" s="73"/>
      <c r="I31" s="74">
        <f t="shared" si="2"/>
        <v>0</v>
      </c>
      <c r="J31" s="75">
        <f>608.25</f>
        <v>608.25</v>
      </c>
      <c r="K31" s="73"/>
      <c r="L31" s="136">
        <f t="shared" si="5"/>
        <v>608.25</v>
      </c>
      <c r="M31" s="75"/>
      <c r="N31" s="73"/>
      <c r="O31" s="74">
        <f t="shared" si="6"/>
        <v>608.25</v>
      </c>
      <c r="P31" s="187"/>
      <c r="Q31" s="171">
        <f t="shared" si="3"/>
        <v>608.25</v>
      </c>
      <c r="R31" s="171">
        <v>1506.62</v>
      </c>
      <c r="S31" s="168">
        <f t="shared" si="1"/>
        <v>247.69749280723383</v>
      </c>
    </row>
    <row r="32" spans="1:19" ht="12.75">
      <c r="A32" s="13" t="s">
        <v>340</v>
      </c>
      <c r="B32" s="50"/>
      <c r="C32" s="75"/>
      <c r="D32" s="73"/>
      <c r="E32" s="73"/>
      <c r="F32" s="74">
        <f t="shared" si="4"/>
        <v>0</v>
      </c>
      <c r="G32" s="75">
        <v>50.48</v>
      </c>
      <c r="H32" s="73"/>
      <c r="I32" s="74">
        <f t="shared" si="2"/>
        <v>50.48</v>
      </c>
      <c r="J32" s="75"/>
      <c r="K32" s="73"/>
      <c r="L32" s="136">
        <f t="shared" si="5"/>
        <v>50.48</v>
      </c>
      <c r="M32" s="75"/>
      <c r="N32" s="73"/>
      <c r="O32" s="74">
        <f t="shared" si="6"/>
        <v>50.48</v>
      </c>
      <c r="P32" s="187"/>
      <c r="Q32" s="171">
        <f t="shared" si="3"/>
        <v>50.48</v>
      </c>
      <c r="R32" s="171">
        <v>61.09</v>
      </c>
      <c r="S32" s="168">
        <f t="shared" si="1"/>
        <v>121.01822503961968</v>
      </c>
    </row>
    <row r="33" spans="1:19" ht="12.75">
      <c r="A33" s="13" t="s">
        <v>358</v>
      </c>
      <c r="B33" s="50"/>
      <c r="C33" s="75"/>
      <c r="D33" s="73"/>
      <c r="E33" s="73"/>
      <c r="F33" s="74"/>
      <c r="G33" s="75"/>
      <c r="H33" s="73"/>
      <c r="I33" s="74">
        <f t="shared" si="2"/>
        <v>0</v>
      </c>
      <c r="J33" s="75">
        <v>55</v>
      </c>
      <c r="K33" s="73"/>
      <c r="L33" s="136">
        <f t="shared" si="5"/>
        <v>55</v>
      </c>
      <c r="M33" s="75"/>
      <c r="N33" s="73"/>
      <c r="O33" s="74">
        <f t="shared" si="6"/>
        <v>55</v>
      </c>
      <c r="P33" s="187"/>
      <c r="Q33" s="171">
        <f t="shared" si="3"/>
        <v>55</v>
      </c>
      <c r="R33" s="171">
        <v>207</v>
      </c>
      <c r="S33" s="168">
        <f t="shared" si="1"/>
        <v>376.3636363636364</v>
      </c>
    </row>
    <row r="34" spans="1:19" ht="12.75">
      <c r="A34" s="13" t="s">
        <v>195</v>
      </c>
      <c r="B34" s="50"/>
      <c r="C34" s="75"/>
      <c r="D34" s="73">
        <f>5.19</f>
        <v>5.19</v>
      </c>
      <c r="E34" s="73"/>
      <c r="F34" s="74">
        <f t="shared" si="4"/>
        <v>5.19</v>
      </c>
      <c r="G34" s="75"/>
      <c r="H34" s="73"/>
      <c r="I34" s="74">
        <f t="shared" si="2"/>
        <v>5.19</v>
      </c>
      <c r="J34" s="75">
        <f>189.9</f>
        <v>189.9</v>
      </c>
      <c r="K34" s="73"/>
      <c r="L34" s="136">
        <f t="shared" si="5"/>
        <v>195.09</v>
      </c>
      <c r="M34" s="75">
        <f>241.4</f>
        <v>241.4</v>
      </c>
      <c r="N34" s="73"/>
      <c r="O34" s="74">
        <f t="shared" si="6"/>
        <v>436.49</v>
      </c>
      <c r="P34" s="187"/>
      <c r="Q34" s="171">
        <f t="shared" si="3"/>
        <v>436.49</v>
      </c>
      <c r="R34" s="171">
        <v>2706.79</v>
      </c>
      <c r="S34" s="168">
        <f t="shared" si="1"/>
        <v>620.1264633783134</v>
      </c>
    </row>
    <row r="35" spans="1:19" ht="12.75">
      <c r="A35" s="13" t="s">
        <v>356</v>
      </c>
      <c r="B35" s="50"/>
      <c r="C35" s="75"/>
      <c r="D35" s="73"/>
      <c r="E35" s="73"/>
      <c r="F35" s="74"/>
      <c r="G35" s="75"/>
      <c r="H35" s="73"/>
      <c r="I35" s="74">
        <f t="shared" si="2"/>
        <v>0</v>
      </c>
      <c r="J35" s="75">
        <v>2176.38</v>
      </c>
      <c r="K35" s="73"/>
      <c r="L35" s="136">
        <f t="shared" si="5"/>
        <v>2176.38</v>
      </c>
      <c r="M35" s="75">
        <f>44.17</f>
        <v>44.17</v>
      </c>
      <c r="N35" s="73"/>
      <c r="O35" s="74">
        <f t="shared" si="6"/>
        <v>2220.55</v>
      </c>
      <c r="P35" s="187">
        <f>121.86-44.17</f>
        <v>77.69</v>
      </c>
      <c r="Q35" s="171">
        <f t="shared" si="3"/>
        <v>2298.2400000000002</v>
      </c>
      <c r="R35" s="171">
        <v>2667.39</v>
      </c>
      <c r="S35" s="168">
        <f t="shared" si="1"/>
        <v>116.06229114452798</v>
      </c>
    </row>
    <row r="36" spans="1:19" ht="12.75">
      <c r="A36" s="13" t="s">
        <v>184</v>
      </c>
      <c r="B36" s="50"/>
      <c r="C36" s="75"/>
      <c r="D36" s="73"/>
      <c r="E36" s="73"/>
      <c r="F36" s="74">
        <f t="shared" si="4"/>
        <v>0</v>
      </c>
      <c r="G36" s="75"/>
      <c r="H36" s="73"/>
      <c r="I36" s="74">
        <f t="shared" si="2"/>
        <v>0</v>
      </c>
      <c r="J36" s="75"/>
      <c r="K36" s="73"/>
      <c r="L36" s="136">
        <f t="shared" si="5"/>
        <v>0</v>
      </c>
      <c r="M36" s="75"/>
      <c r="N36" s="73"/>
      <c r="O36" s="74">
        <f t="shared" si="6"/>
        <v>0</v>
      </c>
      <c r="P36" s="187"/>
      <c r="Q36" s="171">
        <f t="shared" si="3"/>
        <v>0</v>
      </c>
      <c r="R36" s="171">
        <v>178.82</v>
      </c>
      <c r="S36" s="169" t="s">
        <v>384</v>
      </c>
    </row>
    <row r="37" spans="1:19" ht="12.75">
      <c r="A37" s="13" t="s">
        <v>374</v>
      </c>
      <c r="B37" s="50"/>
      <c r="C37" s="75"/>
      <c r="D37" s="73"/>
      <c r="E37" s="73"/>
      <c r="F37" s="74"/>
      <c r="G37" s="75"/>
      <c r="H37" s="73"/>
      <c r="I37" s="74"/>
      <c r="J37" s="75"/>
      <c r="K37" s="73"/>
      <c r="L37" s="136"/>
      <c r="M37" s="75"/>
      <c r="N37" s="73"/>
      <c r="O37" s="74">
        <f t="shared" si="6"/>
        <v>0</v>
      </c>
      <c r="P37" s="187"/>
      <c r="Q37" s="171">
        <f t="shared" si="3"/>
        <v>0</v>
      </c>
      <c r="R37" s="171">
        <v>123.8</v>
      </c>
      <c r="S37" s="169" t="s">
        <v>384</v>
      </c>
    </row>
    <row r="38" spans="1:19" ht="12.75">
      <c r="A38" s="13" t="s">
        <v>196</v>
      </c>
      <c r="B38" s="50"/>
      <c r="C38" s="75"/>
      <c r="D38" s="73"/>
      <c r="E38" s="73"/>
      <c r="F38" s="74">
        <f t="shared" si="4"/>
        <v>0</v>
      </c>
      <c r="G38" s="75"/>
      <c r="H38" s="73"/>
      <c r="I38" s="74">
        <f t="shared" si="2"/>
        <v>0</v>
      </c>
      <c r="J38" s="75"/>
      <c r="K38" s="73"/>
      <c r="L38" s="136">
        <f t="shared" si="5"/>
        <v>0</v>
      </c>
      <c r="M38" s="75">
        <f>274.2</f>
        <v>274.2</v>
      </c>
      <c r="N38" s="73"/>
      <c r="O38" s="74">
        <f t="shared" si="6"/>
        <v>274.2</v>
      </c>
      <c r="P38" s="187"/>
      <c r="Q38" s="171">
        <f t="shared" si="3"/>
        <v>274.2</v>
      </c>
      <c r="R38" s="171">
        <v>617.65</v>
      </c>
      <c r="S38" s="168">
        <f t="shared" si="1"/>
        <v>225.25528811086798</v>
      </c>
    </row>
    <row r="39" spans="1:19" ht="12.75">
      <c r="A39" s="13" t="s">
        <v>372</v>
      </c>
      <c r="B39" s="50"/>
      <c r="C39" s="75"/>
      <c r="D39" s="73"/>
      <c r="E39" s="73"/>
      <c r="F39" s="74">
        <f t="shared" si="4"/>
        <v>0</v>
      </c>
      <c r="G39" s="75"/>
      <c r="H39" s="73"/>
      <c r="I39" s="74">
        <f t="shared" si="2"/>
        <v>0</v>
      </c>
      <c r="J39" s="75"/>
      <c r="K39" s="73"/>
      <c r="L39" s="136">
        <f t="shared" si="5"/>
        <v>0</v>
      </c>
      <c r="M39" s="75"/>
      <c r="N39" s="73"/>
      <c r="O39" s="74">
        <f t="shared" si="6"/>
        <v>0</v>
      </c>
      <c r="P39" s="187">
        <f>293.04</f>
        <v>293.04</v>
      </c>
      <c r="Q39" s="171">
        <f t="shared" si="3"/>
        <v>293.04</v>
      </c>
      <c r="R39" s="171">
        <v>441.82</v>
      </c>
      <c r="S39" s="168">
        <f t="shared" si="1"/>
        <v>150.77122577122574</v>
      </c>
    </row>
    <row r="40" spans="1:19" ht="12.75">
      <c r="A40" s="13" t="s">
        <v>375</v>
      </c>
      <c r="B40" s="50"/>
      <c r="C40" s="75"/>
      <c r="D40" s="73"/>
      <c r="E40" s="73"/>
      <c r="F40" s="74"/>
      <c r="G40" s="75"/>
      <c r="H40" s="73"/>
      <c r="I40" s="74"/>
      <c r="J40" s="75"/>
      <c r="K40" s="73"/>
      <c r="L40" s="136"/>
      <c r="M40" s="75"/>
      <c r="N40" s="73"/>
      <c r="O40" s="74">
        <f t="shared" si="6"/>
        <v>0</v>
      </c>
      <c r="P40" s="187"/>
      <c r="Q40" s="171">
        <f t="shared" si="3"/>
        <v>0</v>
      </c>
      <c r="R40" s="171">
        <v>258.3</v>
      </c>
      <c r="S40" s="169" t="s">
        <v>384</v>
      </c>
    </row>
    <row r="41" spans="1:19" ht="12.75">
      <c r="A41" s="12" t="s">
        <v>28</v>
      </c>
      <c r="B41" s="49"/>
      <c r="C41" s="75">
        <f aca="true" t="shared" si="7" ref="C41:Q41">SUM(C42:C47)</f>
        <v>113127.7</v>
      </c>
      <c r="D41" s="73">
        <f t="shared" si="7"/>
        <v>-843.1</v>
      </c>
      <c r="E41" s="73">
        <f t="shared" si="7"/>
        <v>0</v>
      </c>
      <c r="F41" s="74">
        <f t="shared" si="7"/>
        <v>112284.59999999999</v>
      </c>
      <c r="G41" s="75">
        <f t="shared" si="7"/>
        <v>1810.8</v>
      </c>
      <c r="H41" s="73">
        <f t="shared" si="7"/>
        <v>0</v>
      </c>
      <c r="I41" s="74">
        <f t="shared" si="7"/>
        <v>114095.4</v>
      </c>
      <c r="J41" s="75">
        <f t="shared" si="7"/>
        <v>91.1</v>
      </c>
      <c r="K41" s="73">
        <f t="shared" si="7"/>
        <v>0</v>
      </c>
      <c r="L41" s="136">
        <f t="shared" si="7"/>
        <v>114186.5</v>
      </c>
      <c r="M41" s="75">
        <f t="shared" si="7"/>
        <v>10371.7</v>
      </c>
      <c r="N41" s="73">
        <f t="shared" si="7"/>
        <v>0</v>
      </c>
      <c r="O41" s="74">
        <f t="shared" si="7"/>
        <v>124558.20000000001</v>
      </c>
      <c r="P41" s="190">
        <f t="shared" si="7"/>
        <v>-450</v>
      </c>
      <c r="Q41" s="174">
        <f t="shared" si="7"/>
        <v>124108.20000000001</v>
      </c>
      <c r="R41" s="174">
        <f>SUM(R42:R47)</f>
        <v>126020.90000000001</v>
      </c>
      <c r="S41" s="168">
        <f t="shared" si="1"/>
        <v>101.54115521778577</v>
      </c>
    </row>
    <row r="42" spans="1:19" ht="12.75">
      <c r="A42" s="12" t="s">
        <v>29</v>
      </c>
      <c r="B42" s="49"/>
      <c r="C42" s="75">
        <v>40481</v>
      </c>
      <c r="D42" s="73">
        <f>-843.1</f>
        <v>-843.1</v>
      </c>
      <c r="E42" s="73"/>
      <c r="F42" s="74">
        <f t="shared" si="4"/>
        <v>39637.9</v>
      </c>
      <c r="G42" s="75">
        <f>131.5</f>
        <v>131.5</v>
      </c>
      <c r="H42" s="73"/>
      <c r="I42" s="74">
        <f aca="true" t="shared" si="8" ref="I42:I48">F42+G42+H42</f>
        <v>39769.4</v>
      </c>
      <c r="J42" s="75">
        <f>91.1</f>
        <v>91.1</v>
      </c>
      <c r="K42" s="73"/>
      <c r="L42" s="136">
        <f aca="true" t="shared" si="9" ref="L42:L48">I42+J42+K42</f>
        <v>39860.5</v>
      </c>
      <c r="M42" s="75">
        <f>477.1+832</f>
        <v>1309.1</v>
      </c>
      <c r="N42" s="73"/>
      <c r="O42" s="74">
        <f aca="true" t="shared" si="10" ref="O42:O48">L42+M42+N42</f>
        <v>41169.6</v>
      </c>
      <c r="P42" s="187">
        <f>-450</f>
        <v>-450</v>
      </c>
      <c r="Q42" s="171">
        <f aca="true" t="shared" si="11" ref="Q42:Q48">O42+P42</f>
        <v>40719.6</v>
      </c>
      <c r="R42" s="171">
        <v>41351.2</v>
      </c>
      <c r="S42" s="168">
        <f t="shared" si="1"/>
        <v>101.55109578679556</v>
      </c>
    </row>
    <row r="43" spans="1:19" ht="12.75">
      <c r="A43" s="13" t="s">
        <v>197</v>
      </c>
      <c r="B43" s="50"/>
      <c r="C43" s="75">
        <v>8476</v>
      </c>
      <c r="D43" s="73"/>
      <c r="E43" s="73"/>
      <c r="F43" s="74">
        <f t="shared" si="4"/>
        <v>8476</v>
      </c>
      <c r="G43" s="75"/>
      <c r="H43" s="73"/>
      <c r="I43" s="74">
        <f t="shared" si="8"/>
        <v>8476</v>
      </c>
      <c r="J43" s="75"/>
      <c r="K43" s="73"/>
      <c r="L43" s="136">
        <f t="shared" si="9"/>
        <v>8476</v>
      </c>
      <c r="M43" s="75">
        <f>9000</f>
        <v>9000</v>
      </c>
      <c r="N43" s="73"/>
      <c r="O43" s="74">
        <f t="shared" si="10"/>
        <v>17476</v>
      </c>
      <c r="P43" s="187"/>
      <c r="Q43" s="171">
        <f t="shared" si="11"/>
        <v>17476</v>
      </c>
      <c r="R43" s="171">
        <v>18776</v>
      </c>
      <c r="S43" s="168">
        <f t="shared" si="1"/>
        <v>107.43877317463951</v>
      </c>
    </row>
    <row r="44" spans="1:19" ht="12.75">
      <c r="A44" s="12" t="s">
        <v>30</v>
      </c>
      <c r="B44" s="49"/>
      <c r="C44" s="75">
        <v>19812</v>
      </c>
      <c r="D44" s="73"/>
      <c r="E44" s="73"/>
      <c r="F44" s="74">
        <f t="shared" si="4"/>
        <v>19812</v>
      </c>
      <c r="G44" s="75"/>
      <c r="H44" s="73"/>
      <c r="I44" s="74">
        <f t="shared" si="8"/>
        <v>19812</v>
      </c>
      <c r="J44" s="75"/>
      <c r="K44" s="73"/>
      <c r="L44" s="136">
        <f t="shared" si="9"/>
        <v>19812</v>
      </c>
      <c r="M44" s="75"/>
      <c r="N44" s="73"/>
      <c r="O44" s="74">
        <f t="shared" si="10"/>
        <v>19812</v>
      </c>
      <c r="P44" s="187"/>
      <c r="Q44" s="171">
        <f t="shared" si="11"/>
        <v>19812</v>
      </c>
      <c r="R44" s="171">
        <v>19812</v>
      </c>
      <c r="S44" s="168">
        <f t="shared" si="1"/>
        <v>100</v>
      </c>
    </row>
    <row r="45" spans="1:19" ht="12.75">
      <c r="A45" s="13" t="s">
        <v>198</v>
      </c>
      <c r="B45" s="50"/>
      <c r="C45" s="75">
        <v>10307.7</v>
      </c>
      <c r="D45" s="73"/>
      <c r="E45" s="73"/>
      <c r="F45" s="74">
        <f t="shared" si="4"/>
        <v>10307.7</v>
      </c>
      <c r="G45" s="75">
        <f>1679.3</f>
        <v>1679.3</v>
      </c>
      <c r="H45" s="73"/>
      <c r="I45" s="74">
        <f t="shared" si="8"/>
        <v>11987</v>
      </c>
      <c r="J45" s="75"/>
      <c r="K45" s="73"/>
      <c r="L45" s="136">
        <f t="shared" si="9"/>
        <v>11987</v>
      </c>
      <c r="M45" s="75"/>
      <c r="N45" s="73"/>
      <c r="O45" s="74">
        <f t="shared" si="10"/>
        <v>11987</v>
      </c>
      <c r="P45" s="187"/>
      <c r="Q45" s="171">
        <f t="shared" si="11"/>
        <v>11987</v>
      </c>
      <c r="R45" s="171">
        <v>11968.1</v>
      </c>
      <c r="S45" s="168">
        <f t="shared" si="1"/>
        <v>99.84232918995579</v>
      </c>
    </row>
    <row r="46" spans="1:19" ht="12.75">
      <c r="A46" s="13" t="s">
        <v>364</v>
      </c>
      <c r="B46" s="50"/>
      <c r="C46" s="75">
        <v>355</v>
      </c>
      <c r="D46" s="73"/>
      <c r="E46" s="73"/>
      <c r="F46" s="74">
        <f t="shared" si="4"/>
        <v>355</v>
      </c>
      <c r="G46" s="75"/>
      <c r="H46" s="73"/>
      <c r="I46" s="74">
        <f t="shared" si="8"/>
        <v>355</v>
      </c>
      <c r="J46" s="75"/>
      <c r="K46" s="73"/>
      <c r="L46" s="136">
        <f t="shared" si="9"/>
        <v>355</v>
      </c>
      <c r="M46" s="75">
        <f>62.6</f>
        <v>62.6</v>
      </c>
      <c r="N46" s="73"/>
      <c r="O46" s="74">
        <f t="shared" si="10"/>
        <v>417.6</v>
      </c>
      <c r="P46" s="187"/>
      <c r="Q46" s="171">
        <f t="shared" si="11"/>
        <v>417.6</v>
      </c>
      <c r="R46" s="171">
        <v>417.6</v>
      </c>
      <c r="S46" s="168">
        <f t="shared" si="1"/>
        <v>100</v>
      </c>
    </row>
    <row r="47" spans="1:19" ht="12.75">
      <c r="A47" s="13" t="s">
        <v>199</v>
      </c>
      <c r="B47" s="50"/>
      <c r="C47" s="75">
        <v>33696</v>
      </c>
      <c r="D47" s="73"/>
      <c r="E47" s="73"/>
      <c r="F47" s="74">
        <f t="shared" si="4"/>
        <v>33696</v>
      </c>
      <c r="G47" s="75"/>
      <c r="H47" s="73"/>
      <c r="I47" s="74">
        <f t="shared" si="8"/>
        <v>33696</v>
      </c>
      <c r="J47" s="75"/>
      <c r="K47" s="73"/>
      <c r="L47" s="136">
        <f t="shared" si="9"/>
        <v>33696</v>
      </c>
      <c r="M47" s="75"/>
      <c r="N47" s="73"/>
      <c r="O47" s="74">
        <f t="shared" si="10"/>
        <v>33696</v>
      </c>
      <c r="P47" s="187"/>
      <c r="Q47" s="171">
        <f t="shared" si="11"/>
        <v>33696</v>
      </c>
      <c r="R47" s="171">
        <v>33696</v>
      </c>
      <c r="S47" s="168">
        <f t="shared" si="1"/>
        <v>100</v>
      </c>
    </row>
    <row r="48" spans="1:19" ht="12.75">
      <c r="A48" s="13" t="s">
        <v>280</v>
      </c>
      <c r="B48" s="50"/>
      <c r="C48" s="75"/>
      <c r="D48" s="123">
        <f>42.77+1205.68+605.09+107.09+843.95+697.96+542.94</f>
        <v>4045.48</v>
      </c>
      <c r="E48" s="73"/>
      <c r="F48" s="74">
        <f t="shared" si="4"/>
        <v>4045.48</v>
      </c>
      <c r="G48" s="124">
        <f>9344.49+600+10.8+2000+775+825+2559.76</f>
        <v>16115.05</v>
      </c>
      <c r="H48" s="133">
        <f>1000+57.53</f>
        <v>1057.53</v>
      </c>
      <c r="I48" s="74">
        <f t="shared" si="8"/>
        <v>21218.059999999998</v>
      </c>
      <c r="J48" s="124">
        <f>2531.07+1075.3+1122.5+759.73+250+2000+680+385.01</f>
        <v>8803.61</v>
      </c>
      <c r="K48" s="133"/>
      <c r="L48" s="136">
        <f t="shared" si="9"/>
        <v>30021.67</v>
      </c>
      <c r="M48" s="124">
        <f>2009.99+6.99+66.09+1972.25+1541.58+54.45+790.47+2015.98+99.45+89.3+421.08+196.69+500+1000+2000</f>
        <v>12764.32</v>
      </c>
      <c r="N48" s="133"/>
      <c r="O48" s="74">
        <f t="shared" si="10"/>
        <v>42785.99</v>
      </c>
      <c r="P48" s="187">
        <f>2565+2000+1656.69+174.36+165.6+18.23+327.91+61.55+191.22+62.24+2102.96+129.86+5504.39+2559.32+3142.12+44.17</f>
        <v>20705.62</v>
      </c>
      <c r="Q48" s="171">
        <f t="shared" si="11"/>
        <v>63491.61</v>
      </c>
      <c r="R48" s="171">
        <v>64691.55</v>
      </c>
      <c r="S48" s="168">
        <f t="shared" si="1"/>
        <v>101.88991899874644</v>
      </c>
    </row>
    <row r="49" spans="1:19" ht="12.75">
      <c r="A49" s="14" t="s">
        <v>31</v>
      </c>
      <c r="B49" s="51"/>
      <c r="C49" s="76">
        <f aca="true" t="shared" si="12" ref="C49:Q49">SUM(C51:C55)</f>
        <v>15000</v>
      </c>
      <c r="D49" s="77">
        <f t="shared" si="12"/>
        <v>0</v>
      </c>
      <c r="E49" s="77">
        <f t="shared" si="12"/>
        <v>0</v>
      </c>
      <c r="F49" s="78">
        <f t="shared" si="12"/>
        <v>15000</v>
      </c>
      <c r="G49" s="76">
        <f t="shared" si="12"/>
        <v>1000</v>
      </c>
      <c r="H49" s="77">
        <f t="shared" si="12"/>
        <v>0</v>
      </c>
      <c r="I49" s="78">
        <f t="shared" si="12"/>
        <v>16000</v>
      </c>
      <c r="J49" s="76">
        <f t="shared" si="12"/>
        <v>0</v>
      </c>
      <c r="K49" s="77">
        <f t="shared" si="12"/>
        <v>12100</v>
      </c>
      <c r="L49" s="139">
        <f t="shared" si="12"/>
        <v>28100</v>
      </c>
      <c r="M49" s="76">
        <f t="shared" si="12"/>
        <v>0</v>
      </c>
      <c r="N49" s="77">
        <f t="shared" si="12"/>
        <v>0</v>
      </c>
      <c r="O49" s="78">
        <f t="shared" si="12"/>
        <v>28100</v>
      </c>
      <c r="P49" s="191">
        <f t="shared" si="12"/>
        <v>0</v>
      </c>
      <c r="Q49" s="175">
        <f t="shared" si="12"/>
        <v>28100</v>
      </c>
      <c r="R49" s="175">
        <f>SUM(R51:R55)</f>
        <v>29814.8</v>
      </c>
      <c r="S49" s="165">
        <f t="shared" si="1"/>
        <v>106.10249110320285</v>
      </c>
    </row>
    <row r="50" spans="1:19" ht="11.25" customHeight="1">
      <c r="A50" s="11" t="s">
        <v>21</v>
      </c>
      <c r="B50" s="48"/>
      <c r="C50" s="75"/>
      <c r="D50" s="73"/>
      <c r="E50" s="73"/>
      <c r="F50" s="74"/>
      <c r="G50" s="75"/>
      <c r="H50" s="73"/>
      <c r="I50" s="74"/>
      <c r="J50" s="75"/>
      <c r="K50" s="73"/>
      <c r="L50" s="136"/>
      <c r="M50" s="75"/>
      <c r="N50" s="73"/>
      <c r="O50" s="74"/>
      <c r="P50" s="187"/>
      <c r="Q50" s="171"/>
      <c r="R50" s="171"/>
      <c r="S50" s="168"/>
    </row>
    <row r="51" spans="1:19" ht="12.75">
      <c r="A51" s="12" t="s">
        <v>32</v>
      </c>
      <c r="B51" s="49"/>
      <c r="C51" s="75"/>
      <c r="D51" s="73"/>
      <c r="E51" s="73"/>
      <c r="F51" s="74">
        <f>C51+D51+E51</f>
        <v>0</v>
      </c>
      <c r="G51" s="75">
        <f>150</f>
        <v>150</v>
      </c>
      <c r="H51" s="73"/>
      <c r="I51" s="74">
        <f>F51+G51+H51</f>
        <v>150</v>
      </c>
      <c r="J51" s="75">
        <f>149</f>
        <v>149</v>
      </c>
      <c r="K51" s="73"/>
      <c r="L51" s="136">
        <f>I51+J51+K51</f>
        <v>299</v>
      </c>
      <c r="M51" s="75"/>
      <c r="N51" s="73"/>
      <c r="O51" s="74">
        <f>L51+M51+N51</f>
        <v>299</v>
      </c>
      <c r="P51" s="187"/>
      <c r="Q51" s="171">
        <f>O51+P51</f>
        <v>299</v>
      </c>
      <c r="R51" s="171">
        <v>876.7</v>
      </c>
      <c r="S51" s="168">
        <f t="shared" si="1"/>
        <v>293.2107023411371</v>
      </c>
    </row>
    <row r="52" spans="1:19" ht="12.75">
      <c r="A52" s="13" t="s">
        <v>341</v>
      </c>
      <c r="B52" s="49"/>
      <c r="C52" s="75"/>
      <c r="D52" s="73"/>
      <c r="E52" s="73"/>
      <c r="F52" s="74">
        <f>C52+D52+E52</f>
        <v>0</v>
      </c>
      <c r="G52" s="75">
        <v>1000</v>
      </c>
      <c r="H52" s="73"/>
      <c r="I52" s="74">
        <f>F52+G52+H52</f>
        <v>1000</v>
      </c>
      <c r="J52" s="75"/>
      <c r="K52" s="73"/>
      <c r="L52" s="136">
        <f>I52+J52+K52</f>
        <v>1000</v>
      </c>
      <c r="M52" s="75"/>
      <c r="N52" s="73"/>
      <c r="O52" s="74">
        <f>L52+M52+N52</f>
        <v>1000</v>
      </c>
      <c r="P52" s="187"/>
      <c r="Q52" s="171">
        <f>O52+P52</f>
        <v>1000</v>
      </c>
      <c r="R52" s="171">
        <v>170.35</v>
      </c>
      <c r="S52" s="168">
        <f t="shared" si="1"/>
        <v>17.035</v>
      </c>
    </row>
    <row r="53" spans="1:19" ht="12.75">
      <c r="A53" s="13" t="s">
        <v>200</v>
      </c>
      <c r="B53" s="50"/>
      <c r="C53" s="75"/>
      <c r="D53" s="73"/>
      <c r="E53" s="73"/>
      <c r="F53" s="74">
        <f>C53+D53+E53</f>
        <v>0</v>
      </c>
      <c r="G53" s="75"/>
      <c r="H53" s="73"/>
      <c r="I53" s="74">
        <f>F53+G53+H53</f>
        <v>0</v>
      </c>
      <c r="J53" s="89"/>
      <c r="K53" s="73"/>
      <c r="L53" s="136">
        <f>I53+J53+K53</f>
        <v>0</v>
      </c>
      <c r="M53" s="89"/>
      <c r="N53" s="73"/>
      <c r="O53" s="74">
        <f>L53+M53+N53</f>
        <v>0</v>
      </c>
      <c r="P53" s="187"/>
      <c r="Q53" s="171">
        <f>O53+P53</f>
        <v>0</v>
      </c>
      <c r="R53" s="171">
        <v>417.75</v>
      </c>
      <c r="S53" s="169" t="s">
        <v>384</v>
      </c>
    </row>
    <row r="54" spans="1:19" ht="12.75">
      <c r="A54" s="13" t="s">
        <v>281</v>
      </c>
      <c r="B54" s="50"/>
      <c r="C54" s="75">
        <v>15000</v>
      </c>
      <c r="D54" s="73"/>
      <c r="E54" s="73"/>
      <c r="F54" s="74">
        <f>C54+D54+E54</f>
        <v>15000</v>
      </c>
      <c r="G54" s="75">
        <v>-150</v>
      </c>
      <c r="H54" s="73"/>
      <c r="I54" s="74">
        <f>F54+G54+H54</f>
        <v>14850</v>
      </c>
      <c r="J54" s="89">
        <f>-149-12362.8</f>
        <v>-12511.8</v>
      </c>
      <c r="K54" s="73"/>
      <c r="L54" s="136">
        <f>I54+J54+K54</f>
        <v>2338.2000000000007</v>
      </c>
      <c r="M54" s="89"/>
      <c r="N54" s="73"/>
      <c r="O54" s="74">
        <f>L54+M54+N54</f>
        <v>2338.2000000000007</v>
      </c>
      <c r="P54" s="187"/>
      <c r="Q54" s="171">
        <f>O54+P54</f>
        <v>2338.2000000000007</v>
      </c>
      <c r="R54" s="171">
        <v>0</v>
      </c>
      <c r="S54" s="168">
        <f t="shared" si="1"/>
        <v>0</v>
      </c>
    </row>
    <row r="55" spans="1:19" ht="12.75">
      <c r="A55" s="12" t="s">
        <v>33</v>
      </c>
      <c r="B55" s="49"/>
      <c r="C55" s="75"/>
      <c r="D55" s="73"/>
      <c r="E55" s="73"/>
      <c r="F55" s="74">
        <f>C55+D55+E55</f>
        <v>0</v>
      </c>
      <c r="G55" s="75"/>
      <c r="H55" s="73"/>
      <c r="I55" s="74">
        <f>F55+G55+H55</f>
        <v>0</v>
      </c>
      <c r="J55" s="75">
        <f>12362.8</f>
        <v>12362.8</v>
      </c>
      <c r="K55" s="73">
        <v>12100</v>
      </c>
      <c r="L55" s="136">
        <f>I55+J55+K55</f>
        <v>24462.8</v>
      </c>
      <c r="M55" s="75"/>
      <c r="N55" s="73"/>
      <c r="O55" s="74">
        <f>L55+M55+N55</f>
        <v>24462.8</v>
      </c>
      <c r="P55" s="187"/>
      <c r="Q55" s="171">
        <f>O55+P55</f>
        <v>24462.8</v>
      </c>
      <c r="R55" s="171">
        <v>28350</v>
      </c>
      <c r="S55" s="168">
        <f t="shared" si="1"/>
        <v>115.89024968523636</v>
      </c>
    </row>
    <row r="56" spans="1:19" ht="12.75">
      <c r="A56" s="10" t="s">
        <v>34</v>
      </c>
      <c r="B56" s="47"/>
      <c r="C56" s="70">
        <f aca="true" t="shared" si="13" ref="C56:Q56">SUM(C58:C78)</f>
        <v>72738</v>
      </c>
      <c r="D56" s="71">
        <f t="shared" si="13"/>
        <v>4980066.599999999</v>
      </c>
      <c r="E56" s="71">
        <f t="shared" si="13"/>
        <v>0</v>
      </c>
      <c r="F56" s="72">
        <f t="shared" si="13"/>
        <v>5052804.599999999</v>
      </c>
      <c r="G56" s="70">
        <f t="shared" si="13"/>
        <v>386778.99000000005</v>
      </c>
      <c r="H56" s="71">
        <f t="shared" si="13"/>
        <v>0</v>
      </c>
      <c r="I56" s="72">
        <f t="shared" si="13"/>
        <v>5439583.589999999</v>
      </c>
      <c r="J56" s="70">
        <f t="shared" si="13"/>
        <v>154608.77000000002</v>
      </c>
      <c r="K56" s="71">
        <f t="shared" si="13"/>
        <v>0</v>
      </c>
      <c r="L56" s="138">
        <f t="shared" si="13"/>
        <v>5594192.359999999</v>
      </c>
      <c r="M56" s="70">
        <f t="shared" si="13"/>
        <v>90556.52</v>
      </c>
      <c r="N56" s="71">
        <f t="shared" si="13"/>
        <v>0</v>
      </c>
      <c r="O56" s="72">
        <f t="shared" si="13"/>
        <v>5684748.88</v>
      </c>
      <c r="P56" s="188">
        <f t="shared" si="13"/>
        <v>106305.91999999998</v>
      </c>
      <c r="Q56" s="172">
        <f t="shared" si="13"/>
        <v>5791054.799999999</v>
      </c>
      <c r="R56" s="172">
        <f>SUM(R58:R78)</f>
        <v>5791054.8</v>
      </c>
      <c r="S56" s="165">
        <f t="shared" si="1"/>
        <v>100.00000000000003</v>
      </c>
    </row>
    <row r="57" spans="1:19" ht="10.5" customHeight="1">
      <c r="A57" s="15" t="s">
        <v>35</v>
      </c>
      <c r="B57" s="52"/>
      <c r="C57" s="75"/>
      <c r="D57" s="73"/>
      <c r="E57" s="73"/>
      <c r="F57" s="74"/>
      <c r="G57" s="75"/>
      <c r="H57" s="73"/>
      <c r="I57" s="74"/>
      <c r="J57" s="75"/>
      <c r="K57" s="73"/>
      <c r="L57" s="136"/>
      <c r="M57" s="75"/>
      <c r="N57" s="73"/>
      <c r="O57" s="74"/>
      <c r="P57" s="187"/>
      <c r="Q57" s="171"/>
      <c r="R57" s="171"/>
      <c r="S57" s="168"/>
    </row>
    <row r="58" spans="1:19" ht="12.75">
      <c r="A58" s="13" t="s">
        <v>36</v>
      </c>
      <c r="B58" s="50"/>
      <c r="C58" s="75">
        <v>72488</v>
      </c>
      <c r="D58" s="73"/>
      <c r="E58" s="73"/>
      <c r="F58" s="74">
        <f aca="true" t="shared" si="14" ref="F58:F78">C58+D58+E58</f>
        <v>72488</v>
      </c>
      <c r="G58" s="75"/>
      <c r="H58" s="73"/>
      <c r="I58" s="74">
        <f>F58+G58+H58</f>
        <v>72488</v>
      </c>
      <c r="J58" s="75"/>
      <c r="K58" s="73"/>
      <c r="L58" s="136">
        <f>I58+J58+K58</f>
        <v>72488</v>
      </c>
      <c r="M58" s="75"/>
      <c r="N58" s="73"/>
      <c r="O58" s="74">
        <f>L58+M58+N58</f>
        <v>72488</v>
      </c>
      <c r="P58" s="187"/>
      <c r="Q58" s="171">
        <f aca="true" t="shared" si="15" ref="Q58:Q78">O58+P58</f>
        <v>72488</v>
      </c>
      <c r="R58" s="171">
        <v>72488</v>
      </c>
      <c r="S58" s="168">
        <f t="shared" si="1"/>
        <v>100</v>
      </c>
    </row>
    <row r="59" spans="1:19" ht="12.75">
      <c r="A59" s="13" t="s">
        <v>37</v>
      </c>
      <c r="B59" s="50"/>
      <c r="C59" s="75"/>
      <c r="D59" s="73">
        <f>15+195.23+19.35+169.41</f>
        <v>398.99</v>
      </c>
      <c r="E59" s="73"/>
      <c r="F59" s="74">
        <f t="shared" si="14"/>
        <v>398.99</v>
      </c>
      <c r="G59" s="75">
        <f>15+119.18+12.83</f>
        <v>147.01000000000002</v>
      </c>
      <c r="H59" s="73"/>
      <c r="I59" s="74">
        <f aca="true" t="shared" si="16" ref="I59:I78">F59+G59+H59</f>
        <v>546</v>
      </c>
      <c r="J59" s="75">
        <f>15+163.06+142.82</f>
        <v>320.88</v>
      </c>
      <c r="K59" s="73"/>
      <c r="L59" s="136">
        <f aca="true" t="shared" si="17" ref="L59:L78">I59+J59+K59</f>
        <v>866.88</v>
      </c>
      <c r="M59" s="75">
        <f>14.23+162.99+15+113.08</f>
        <v>305.3</v>
      </c>
      <c r="N59" s="73"/>
      <c r="O59" s="74">
        <f aca="true" t="shared" si="18" ref="O59:O78">L59+M59+N59</f>
        <v>1172.18</v>
      </c>
      <c r="P59" s="187">
        <f>167.18+25.05</f>
        <v>192.23000000000002</v>
      </c>
      <c r="Q59" s="171">
        <f t="shared" si="15"/>
        <v>1364.41</v>
      </c>
      <c r="R59" s="171">
        <v>1364.41</v>
      </c>
      <c r="S59" s="168">
        <f t="shared" si="1"/>
        <v>100</v>
      </c>
    </row>
    <row r="60" spans="1:19" ht="12.75">
      <c r="A60" s="13" t="s">
        <v>38</v>
      </c>
      <c r="B60" s="50"/>
      <c r="C60" s="75"/>
      <c r="D60" s="73">
        <f>121134.84+1373+4350492+48850+60.01+2617.92+358.01+94.66+844.6+10645.16+6454.75+145.45+169.7+1241.1</f>
        <v>4544481.199999999</v>
      </c>
      <c r="E60" s="73"/>
      <c r="F60" s="74">
        <f t="shared" si="14"/>
        <v>4544481.199999999</v>
      </c>
      <c r="G60" s="75">
        <f>309.06+1275.8+46910+7821.57+1287.61+382.3+16.2+100+22</f>
        <v>58124.54</v>
      </c>
      <c r="H60" s="73"/>
      <c r="I60" s="74">
        <f t="shared" si="16"/>
        <v>4602605.739999999</v>
      </c>
      <c r="J60" s="75">
        <f>5612.72+2.88+78.9+46880+2062.87-73.99+1869.24+5596.47+30889.26-27.33</f>
        <v>92891.02</v>
      </c>
      <c r="K60" s="73"/>
      <c r="L60" s="136">
        <f t="shared" si="17"/>
        <v>4695496.759999999</v>
      </c>
      <c r="M60" s="75">
        <f>-3.8-1765.57+77.63+7026.01+128.47+114.3+28.33+142.74+3631.08+50433+617.16+21758.51</f>
        <v>82187.86</v>
      </c>
      <c r="N60" s="73"/>
      <c r="O60" s="74">
        <f t="shared" si="18"/>
        <v>4777684.619999999</v>
      </c>
      <c r="P60" s="189">
        <f>-18.73-2.27-115.23-438.43-7.06-15.07-1361.38-1287.61</f>
        <v>-3245.7799999999997</v>
      </c>
      <c r="Q60" s="173">
        <f t="shared" si="15"/>
        <v>4774438.839999999</v>
      </c>
      <c r="R60" s="173">
        <v>4774438.84</v>
      </c>
      <c r="S60" s="168">
        <f t="shared" si="1"/>
        <v>100.00000000000003</v>
      </c>
    </row>
    <row r="61" spans="1:19" ht="12.75">
      <c r="A61" s="13" t="s">
        <v>39</v>
      </c>
      <c r="B61" s="50"/>
      <c r="C61" s="75"/>
      <c r="D61" s="73">
        <f>2011.27+3000+820.88+1317.97+322.05+413868</f>
        <v>421340.17</v>
      </c>
      <c r="E61" s="73"/>
      <c r="F61" s="74">
        <f t="shared" si="14"/>
        <v>421340.17</v>
      </c>
      <c r="G61" s="75">
        <f>51200+910.71+3000</f>
        <v>55110.71</v>
      </c>
      <c r="H61" s="73"/>
      <c r="I61" s="74">
        <f t="shared" si="16"/>
        <v>476450.88</v>
      </c>
      <c r="J61" s="75">
        <f>690.42+821.94+820.88+7.59+31.86+1649.3+42588+1131</f>
        <v>47740.99</v>
      </c>
      <c r="K61" s="73"/>
      <c r="L61" s="136">
        <f t="shared" si="17"/>
        <v>524191.87</v>
      </c>
      <c r="M61" s="75">
        <f>212.64-85.32+12.36-82.77+1600+161.87</f>
        <v>1818.7800000000002</v>
      </c>
      <c r="N61" s="73"/>
      <c r="O61" s="74">
        <f t="shared" si="18"/>
        <v>526010.65</v>
      </c>
      <c r="P61" s="189">
        <f>1012.37+180.9+189.83+14.73+14.84+319.02+353.93+101146.12</f>
        <v>103231.73999999999</v>
      </c>
      <c r="Q61" s="173">
        <f t="shared" si="15"/>
        <v>629242.39</v>
      </c>
      <c r="R61" s="173">
        <v>629242.39</v>
      </c>
      <c r="S61" s="168">
        <f t="shared" si="1"/>
        <v>100</v>
      </c>
    </row>
    <row r="62" spans="1:19" ht="12.75">
      <c r="A62" s="13" t="s">
        <v>40</v>
      </c>
      <c r="B62" s="50"/>
      <c r="C62" s="75"/>
      <c r="D62" s="73"/>
      <c r="E62" s="73"/>
      <c r="F62" s="74">
        <f t="shared" si="14"/>
        <v>0</v>
      </c>
      <c r="G62" s="75">
        <f>24.09</f>
        <v>24.09</v>
      </c>
      <c r="H62" s="73"/>
      <c r="I62" s="74">
        <f t="shared" si="16"/>
        <v>24.09</v>
      </c>
      <c r="J62" s="75">
        <f>96.83+234.66+8.74</f>
        <v>340.23</v>
      </c>
      <c r="K62" s="73"/>
      <c r="L62" s="136">
        <f t="shared" si="17"/>
        <v>364.32</v>
      </c>
      <c r="M62" s="75">
        <f>14.69+2426.5+4</f>
        <v>2445.19</v>
      </c>
      <c r="N62" s="73"/>
      <c r="O62" s="74">
        <f t="shared" si="18"/>
        <v>2809.51</v>
      </c>
      <c r="P62" s="187">
        <f>12.38</f>
        <v>12.38</v>
      </c>
      <c r="Q62" s="171">
        <f t="shared" si="15"/>
        <v>2821.8900000000003</v>
      </c>
      <c r="R62" s="171">
        <v>2821.89</v>
      </c>
      <c r="S62" s="168">
        <f t="shared" si="1"/>
        <v>99.99999999999999</v>
      </c>
    </row>
    <row r="63" spans="1:19" ht="12.75">
      <c r="A63" s="13" t="s">
        <v>41</v>
      </c>
      <c r="B63" s="50"/>
      <c r="C63" s="75"/>
      <c r="D63" s="73"/>
      <c r="E63" s="73"/>
      <c r="F63" s="74">
        <f t="shared" si="14"/>
        <v>0</v>
      </c>
      <c r="G63" s="75">
        <f>242+372+186+29+15+23+16</f>
        <v>883</v>
      </c>
      <c r="H63" s="73"/>
      <c r="I63" s="74">
        <f t="shared" si="16"/>
        <v>883</v>
      </c>
      <c r="J63" s="75">
        <f>460+28+39</f>
        <v>527</v>
      </c>
      <c r="K63" s="73"/>
      <c r="L63" s="136">
        <f t="shared" si="17"/>
        <v>1410</v>
      </c>
      <c r="M63" s="75"/>
      <c r="N63" s="73"/>
      <c r="O63" s="74">
        <f t="shared" si="18"/>
        <v>1410</v>
      </c>
      <c r="P63" s="187"/>
      <c r="Q63" s="171">
        <f t="shared" si="15"/>
        <v>1410</v>
      </c>
      <c r="R63" s="171">
        <v>1410</v>
      </c>
      <c r="S63" s="168">
        <f t="shared" si="1"/>
        <v>100</v>
      </c>
    </row>
    <row r="64" spans="1:19" ht="12.75">
      <c r="A64" s="13" t="s">
        <v>42</v>
      </c>
      <c r="B64" s="50"/>
      <c r="C64" s="75"/>
      <c r="D64" s="73"/>
      <c r="E64" s="73"/>
      <c r="F64" s="74">
        <f t="shared" si="14"/>
        <v>0</v>
      </c>
      <c r="G64" s="75">
        <f>38+100</f>
        <v>138</v>
      </c>
      <c r="H64" s="73"/>
      <c r="I64" s="74">
        <f t="shared" si="16"/>
        <v>138</v>
      </c>
      <c r="J64" s="75">
        <f>3387.9</f>
        <v>3387.9</v>
      </c>
      <c r="K64" s="73"/>
      <c r="L64" s="136">
        <f t="shared" si="17"/>
        <v>3525.9</v>
      </c>
      <c r="M64" s="75"/>
      <c r="N64" s="73"/>
      <c r="O64" s="74">
        <f t="shared" si="18"/>
        <v>3525.9</v>
      </c>
      <c r="P64" s="187"/>
      <c r="Q64" s="171">
        <f t="shared" si="15"/>
        <v>3525.9</v>
      </c>
      <c r="R64" s="171">
        <v>3525.9</v>
      </c>
      <c r="S64" s="168">
        <f t="shared" si="1"/>
        <v>100</v>
      </c>
    </row>
    <row r="65" spans="1:19" ht="12.75">
      <c r="A65" s="13" t="s">
        <v>43</v>
      </c>
      <c r="B65" s="50"/>
      <c r="C65" s="75"/>
      <c r="D65" s="73">
        <v>5221</v>
      </c>
      <c r="E65" s="73"/>
      <c r="F65" s="74">
        <f t="shared" si="14"/>
        <v>5221</v>
      </c>
      <c r="G65" s="75">
        <f>26.4+363</f>
        <v>389.4</v>
      </c>
      <c r="H65" s="73"/>
      <c r="I65" s="74">
        <f t="shared" si="16"/>
        <v>5610.4</v>
      </c>
      <c r="J65" s="75"/>
      <c r="K65" s="73"/>
      <c r="L65" s="136">
        <f t="shared" si="17"/>
        <v>5610.4</v>
      </c>
      <c r="M65" s="75">
        <f>100</f>
        <v>100</v>
      </c>
      <c r="N65" s="73"/>
      <c r="O65" s="74">
        <f t="shared" si="18"/>
        <v>5710.4</v>
      </c>
      <c r="P65" s="187"/>
      <c r="Q65" s="171">
        <f t="shared" si="15"/>
        <v>5710.4</v>
      </c>
      <c r="R65" s="171">
        <v>5710.4</v>
      </c>
      <c r="S65" s="168">
        <f t="shared" si="1"/>
        <v>100</v>
      </c>
    </row>
    <row r="66" spans="1:19" ht="12.75">
      <c r="A66" s="13" t="s">
        <v>177</v>
      </c>
      <c r="B66" s="50"/>
      <c r="C66" s="75"/>
      <c r="D66" s="73"/>
      <c r="E66" s="73"/>
      <c r="F66" s="74">
        <f t="shared" si="14"/>
        <v>0</v>
      </c>
      <c r="G66" s="75">
        <f>266644.15</f>
        <v>266644.15</v>
      </c>
      <c r="H66" s="73"/>
      <c r="I66" s="74">
        <f t="shared" si="16"/>
        <v>266644.15</v>
      </c>
      <c r="J66" s="75"/>
      <c r="K66" s="73"/>
      <c r="L66" s="136">
        <f t="shared" si="17"/>
        <v>266644.15</v>
      </c>
      <c r="M66" s="75"/>
      <c r="N66" s="73"/>
      <c r="O66" s="74">
        <f t="shared" si="18"/>
        <v>266644.15</v>
      </c>
      <c r="P66" s="187"/>
      <c r="Q66" s="171">
        <f t="shared" si="15"/>
        <v>266644.15</v>
      </c>
      <c r="R66" s="171">
        <v>266644.15</v>
      </c>
      <c r="S66" s="168">
        <f t="shared" si="1"/>
        <v>100</v>
      </c>
    </row>
    <row r="67" spans="1:19" ht="12.75">
      <c r="A67" s="13" t="s">
        <v>204</v>
      </c>
      <c r="B67" s="50"/>
      <c r="C67" s="75"/>
      <c r="D67" s="73"/>
      <c r="E67" s="73"/>
      <c r="F67" s="74">
        <f t="shared" si="14"/>
        <v>0</v>
      </c>
      <c r="G67" s="75"/>
      <c r="H67" s="73"/>
      <c r="I67" s="74">
        <f t="shared" si="16"/>
        <v>0</v>
      </c>
      <c r="J67" s="75"/>
      <c r="K67" s="73"/>
      <c r="L67" s="136">
        <f t="shared" si="17"/>
        <v>0</v>
      </c>
      <c r="M67" s="75">
        <f>104.03+180</f>
        <v>284.03</v>
      </c>
      <c r="N67" s="73"/>
      <c r="O67" s="74">
        <f t="shared" si="18"/>
        <v>284.03</v>
      </c>
      <c r="P67" s="187">
        <f>946.47</f>
        <v>946.47</v>
      </c>
      <c r="Q67" s="171">
        <f t="shared" si="15"/>
        <v>1230.5</v>
      </c>
      <c r="R67" s="171">
        <v>1230.5</v>
      </c>
      <c r="S67" s="168">
        <f t="shared" si="1"/>
        <v>100</v>
      </c>
    </row>
    <row r="68" spans="1:19" ht="12.75">
      <c r="A68" s="13" t="s">
        <v>44</v>
      </c>
      <c r="B68" s="50"/>
      <c r="C68" s="75"/>
      <c r="D68" s="73">
        <f>3505.4+5099.74</f>
        <v>8605.14</v>
      </c>
      <c r="E68" s="73"/>
      <c r="F68" s="74">
        <f t="shared" si="14"/>
        <v>8605.14</v>
      </c>
      <c r="G68" s="75"/>
      <c r="H68" s="73"/>
      <c r="I68" s="74">
        <f t="shared" si="16"/>
        <v>8605.14</v>
      </c>
      <c r="J68" s="75">
        <f>148.5</f>
        <v>148.5</v>
      </c>
      <c r="K68" s="73"/>
      <c r="L68" s="136">
        <f t="shared" si="17"/>
        <v>8753.64</v>
      </c>
      <c r="M68" s="75">
        <f>-0.72+766.64</f>
        <v>765.92</v>
      </c>
      <c r="N68" s="73"/>
      <c r="O68" s="74">
        <f t="shared" si="18"/>
        <v>9519.56</v>
      </c>
      <c r="P68" s="189">
        <f>209.49</f>
        <v>209.49</v>
      </c>
      <c r="Q68" s="171">
        <f t="shared" si="15"/>
        <v>9729.05</v>
      </c>
      <c r="R68" s="171">
        <v>9729.05</v>
      </c>
      <c r="S68" s="168">
        <f t="shared" si="1"/>
        <v>100</v>
      </c>
    </row>
    <row r="69" spans="1:19" ht="12.75">
      <c r="A69" s="13" t="s">
        <v>45</v>
      </c>
      <c r="B69" s="50"/>
      <c r="C69" s="75"/>
      <c r="D69" s="73"/>
      <c r="E69" s="73"/>
      <c r="F69" s="74">
        <f t="shared" si="14"/>
        <v>0</v>
      </c>
      <c r="G69" s="75">
        <f>61+237</f>
        <v>298</v>
      </c>
      <c r="H69" s="73"/>
      <c r="I69" s="74">
        <f t="shared" si="16"/>
        <v>298</v>
      </c>
      <c r="J69" s="89"/>
      <c r="K69" s="73"/>
      <c r="L69" s="136">
        <f t="shared" si="17"/>
        <v>298</v>
      </c>
      <c r="M69" s="75"/>
      <c r="N69" s="73"/>
      <c r="O69" s="74">
        <f t="shared" si="18"/>
        <v>298</v>
      </c>
      <c r="P69" s="187"/>
      <c r="Q69" s="171">
        <f t="shared" si="15"/>
        <v>298</v>
      </c>
      <c r="R69" s="171">
        <v>298</v>
      </c>
      <c r="S69" s="168">
        <f t="shared" si="1"/>
        <v>100</v>
      </c>
    </row>
    <row r="70" spans="1:19" ht="12.75">
      <c r="A70" s="13" t="s">
        <v>306</v>
      </c>
      <c r="B70" s="50"/>
      <c r="C70" s="75"/>
      <c r="D70" s="73">
        <v>20.1</v>
      </c>
      <c r="E70" s="73"/>
      <c r="F70" s="74">
        <f t="shared" si="14"/>
        <v>20.1</v>
      </c>
      <c r="G70" s="75"/>
      <c r="H70" s="73"/>
      <c r="I70" s="74">
        <f t="shared" si="16"/>
        <v>20.1</v>
      </c>
      <c r="J70" s="89"/>
      <c r="K70" s="73"/>
      <c r="L70" s="136">
        <f t="shared" si="17"/>
        <v>20.1</v>
      </c>
      <c r="M70" s="75"/>
      <c r="N70" s="73"/>
      <c r="O70" s="74">
        <f t="shared" si="18"/>
        <v>20.1</v>
      </c>
      <c r="P70" s="187"/>
      <c r="Q70" s="171">
        <f t="shared" si="15"/>
        <v>20.1</v>
      </c>
      <c r="R70" s="171">
        <v>20.1</v>
      </c>
      <c r="S70" s="168">
        <f t="shared" si="1"/>
        <v>100</v>
      </c>
    </row>
    <row r="71" spans="1:19" ht="12.75">
      <c r="A71" s="13" t="s">
        <v>205</v>
      </c>
      <c r="B71" s="50"/>
      <c r="C71" s="75"/>
      <c r="D71" s="73"/>
      <c r="E71" s="73"/>
      <c r="F71" s="74">
        <f t="shared" si="14"/>
        <v>0</v>
      </c>
      <c r="G71" s="75"/>
      <c r="H71" s="73"/>
      <c r="I71" s="74">
        <f t="shared" si="16"/>
        <v>0</v>
      </c>
      <c r="J71" s="89"/>
      <c r="K71" s="73"/>
      <c r="L71" s="136">
        <f t="shared" si="17"/>
        <v>0</v>
      </c>
      <c r="M71" s="75">
        <f>5.48</f>
        <v>5.48</v>
      </c>
      <c r="N71" s="73"/>
      <c r="O71" s="74">
        <f t="shared" si="18"/>
        <v>5.48</v>
      </c>
      <c r="P71" s="187">
        <f>55.67</f>
        <v>55.67</v>
      </c>
      <c r="Q71" s="171">
        <f t="shared" si="15"/>
        <v>61.150000000000006</v>
      </c>
      <c r="R71" s="171">
        <v>61.15</v>
      </c>
      <c r="S71" s="168">
        <f t="shared" si="1"/>
        <v>99.99999999999999</v>
      </c>
    </row>
    <row r="72" spans="1:19" ht="12.75" hidden="1">
      <c r="A72" s="13" t="s">
        <v>46</v>
      </c>
      <c r="B72" s="50"/>
      <c r="C72" s="75"/>
      <c r="D72" s="73"/>
      <c r="E72" s="73"/>
      <c r="F72" s="74">
        <f t="shared" si="14"/>
        <v>0</v>
      </c>
      <c r="G72" s="75"/>
      <c r="H72" s="73"/>
      <c r="I72" s="74">
        <f t="shared" si="16"/>
        <v>0</v>
      </c>
      <c r="J72" s="75"/>
      <c r="K72" s="73"/>
      <c r="L72" s="136">
        <f t="shared" si="17"/>
        <v>0</v>
      </c>
      <c r="M72" s="75"/>
      <c r="N72" s="73"/>
      <c r="O72" s="74">
        <f t="shared" si="18"/>
        <v>0</v>
      </c>
      <c r="P72" s="187"/>
      <c r="Q72" s="171">
        <f t="shared" si="15"/>
        <v>0</v>
      </c>
      <c r="R72" s="171">
        <f>P72+Q72</f>
        <v>0</v>
      </c>
      <c r="S72" s="168" t="e">
        <f t="shared" si="1"/>
        <v>#DIV/0!</v>
      </c>
    </row>
    <row r="73" spans="1:19" ht="12.75">
      <c r="A73" s="13" t="s">
        <v>57</v>
      </c>
      <c r="B73" s="50"/>
      <c r="C73" s="75"/>
      <c r="D73" s="73"/>
      <c r="E73" s="73"/>
      <c r="F73" s="74">
        <f t="shared" si="14"/>
        <v>0</v>
      </c>
      <c r="G73" s="73">
        <f>143.93+128.45+137.44+83.37+112.09+107.89+93.6+725.09+78.51+768.93+136.28</f>
        <v>2515.5800000000004</v>
      </c>
      <c r="H73" s="73"/>
      <c r="I73" s="74">
        <f t="shared" si="16"/>
        <v>2515.5800000000004</v>
      </c>
      <c r="J73" s="75">
        <f>72+116.78+1021.07+96.53+2261.77+62.58+154.69+87.89+106.26+269.95+163.23</f>
        <v>4412.75</v>
      </c>
      <c r="K73" s="73"/>
      <c r="L73" s="136">
        <f t="shared" si="17"/>
        <v>6928.33</v>
      </c>
      <c r="M73" s="75">
        <f>76.93+332.43+50.03+301.52+498.05+557.81+410.54+105.67+101.94+145.08</f>
        <v>2580</v>
      </c>
      <c r="N73" s="73"/>
      <c r="O73" s="74">
        <f t="shared" si="18"/>
        <v>9508.33</v>
      </c>
      <c r="P73" s="187">
        <f>1681.44+84.54+42.44+94.42+82+823.65+100.66+155.36+80.59+91.64+247.33+103.22+1660.57+77.57</f>
        <v>5325.429999999999</v>
      </c>
      <c r="Q73" s="171">
        <f t="shared" si="15"/>
        <v>14833.759999999998</v>
      </c>
      <c r="R73" s="171">
        <v>14833.76</v>
      </c>
      <c r="S73" s="168">
        <f t="shared" si="1"/>
        <v>100.00000000000003</v>
      </c>
    </row>
    <row r="74" spans="1:19" ht="12.75">
      <c r="A74" s="13" t="s">
        <v>47</v>
      </c>
      <c r="B74" s="50"/>
      <c r="C74" s="75"/>
      <c r="D74" s="73"/>
      <c r="E74" s="73"/>
      <c r="F74" s="74">
        <f t="shared" si="14"/>
        <v>0</v>
      </c>
      <c r="G74" s="75"/>
      <c r="H74" s="73"/>
      <c r="I74" s="74">
        <f t="shared" si="16"/>
        <v>0</v>
      </c>
      <c r="J74" s="75">
        <f>4674</f>
        <v>4674</v>
      </c>
      <c r="K74" s="73"/>
      <c r="L74" s="136">
        <f t="shared" si="17"/>
        <v>4674</v>
      </c>
      <c r="M74" s="75"/>
      <c r="N74" s="73"/>
      <c r="O74" s="74">
        <f t="shared" si="18"/>
        <v>4674</v>
      </c>
      <c r="P74" s="187">
        <f>-325.6-96.11</f>
        <v>-421.71000000000004</v>
      </c>
      <c r="Q74" s="171">
        <f t="shared" si="15"/>
        <v>4252.29</v>
      </c>
      <c r="R74" s="171">
        <v>4252.29</v>
      </c>
      <c r="S74" s="168">
        <f t="shared" si="1"/>
        <v>100</v>
      </c>
    </row>
    <row r="75" spans="1:19" ht="12.75" hidden="1">
      <c r="A75" s="13" t="s">
        <v>48</v>
      </c>
      <c r="B75" s="50"/>
      <c r="C75" s="75"/>
      <c r="D75" s="73"/>
      <c r="E75" s="73"/>
      <c r="F75" s="74">
        <f t="shared" si="14"/>
        <v>0</v>
      </c>
      <c r="G75" s="75"/>
      <c r="H75" s="73"/>
      <c r="I75" s="74">
        <f t="shared" si="16"/>
        <v>0</v>
      </c>
      <c r="J75" s="75"/>
      <c r="K75" s="73"/>
      <c r="L75" s="136">
        <f t="shared" si="17"/>
        <v>0</v>
      </c>
      <c r="M75" s="75"/>
      <c r="N75" s="73"/>
      <c r="O75" s="74">
        <f t="shared" si="18"/>
        <v>0</v>
      </c>
      <c r="P75" s="187"/>
      <c r="Q75" s="171">
        <f t="shared" si="15"/>
        <v>0</v>
      </c>
      <c r="R75" s="171">
        <f>P75+Q75</f>
        <v>0</v>
      </c>
      <c r="S75" s="168" t="e">
        <f t="shared" si="1"/>
        <v>#DIV/0!</v>
      </c>
    </row>
    <row r="76" spans="1:19" ht="12.75">
      <c r="A76" s="13" t="s">
        <v>49</v>
      </c>
      <c r="B76" s="50"/>
      <c r="C76" s="75">
        <v>250</v>
      </c>
      <c r="D76" s="73"/>
      <c r="E76" s="73"/>
      <c r="F76" s="74">
        <f t="shared" si="14"/>
        <v>250</v>
      </c>
      <c r="G76" s="75">
        <f>2504.51</f>
        <v>2504.51</v>
      </c>
      <c r="H76" s="73"/>
      <c r="I76" s="74">
        <f t="shared" si="16"/>
        <v>2754.51</v>
      </c>
      <c r="J76" s="75"/>
      <c r="K76" s="73"/>
      <c r="L76" s="136">
        <f t="shared" si="17"/>
        <v>2754.51</v>
      </c>
      <c r="M76" s="75">
        <f>63.96</f>
        <v>63.96</v>
      </c>
      <c r="N76" s="73"/>
      <c r="O76" s="74">
        <f t="shared" si="18"/>
        <v>2818.4700000000003</v>
      </c>
      <c r="P76" s="187"/>
      <c r="Q76" s="171">
        <f t="shared" si="15"/>
        <v>2818.4700000000003</v>
      </c>
      <c r="R76" s="171">
        <v>2818.47</v>
      </c>
      <c r="S76" s="168">
        <f aca="true" t="shared" si="19" ref="S76:S139">R76/Q76*100</f>
        <v>99.99999999999999</v>
      </c>
    </row>
    <row r="77" spans="1:19" ht="12.75">
      <c r="A77" s="13" t="s">
        <v>357</v>
      </c>
      <c r="B77" s="50"/>
      <c r="C77" s="75"/>
      <c r="D77" s="73"/>
      <c r="E77" s="73"/>
      <c r="F77" s="74"/>
      <c r="G77" s="75"/>
      <c r="H77" s="73"/>
      <c r="I77" s="74">
        <f t="shared" si="16"/>
        <v>0</v>
      </c>
      <c r="J77" s="75">
        <f>110.1</f>
        <v>110.1</v>
      </c>
      <c r="K77" s="73"/>
      <c r="L77" s="136">
        <f t="shared" si="17"/>
        <v>110.1</v>
      </c>
      <c r="M77" s="75"/>
      <c r="N77" s="73"/>
      <c r="O77" s="74">
        <f t="shared" si="18"/>
        <v>110.1</v>
      </c>
      <c r="P77" s="187"/>
      <c r="Q77" s="171">
        <f t="shared" si="15"/>
        <v>110.1</v>
      </c>
      <c r="R77" s="171">
        <v>110.1</v>
      </c>
      <c r="S77" s="168">
        <f t="shared" si="19"/>
        <v>100</v>
      </c>
    </row>
    <row r="78" spans="1:19" ht="13.5" thickBot="1">
      <c r="A78" s="231" t="s">
        <v>216</v>
      </c>
      <c r="B78" s="232"/>
      <c r="C78" s="233"/>
      <c r="D78" s="234"/>
      <c r="E78" s="234"/>
      <c r="F78" s="235">
        <f t="shared" si="14"/>
        <v>0</v>
      </c>
      <c r="G78" s="233"/>
      <c r="H78" s="234"/>
      <c r="I78" s="235">
        <f t="shared" si="16"/>
        <v>0</v>
      </c>
      <c r="J78" s="233">
        <f>55.4</f>
        <v>55.4</v>
      </c>
      <c r="K78" s="234"/>
      <c r="L78" s="236">
        <f t="shared" si="17"/>
        <v>55.4</v>
      </c>
      <c r="M78" s="233"/>
      <c r="N78" s="234"/>
      <c r="O78" s="235">
        <f t="shared" si="18"/>
        <v>55.4</v>
      </c>
      <c r="P78" s="205"/>
      <c r="Q78" s="164">
        <f t="shared" si="15"/>
        <v>55.4</v>
      </c>
      <c r="R78" s="164">
        <v>55.4</v>
      </c>
      <c r="S78" s="184">
        <f t="shared" si="19"/>
        <v>100</v>
      </c>
    </row>
    <row r="79" spans="1:19" ht="12.75" hidden="1">
      <c r="A79" s="14" t="s">
        <v>50</v>
      </c>
      <c r="B79" s="51"/>
      <c r="C79" s="119">
        <f aca="true" t="shared" si="20" ref="C79:I79">SUM(C81:C83)</f>
        <v>0</v>
      </c>
      <c r="D79" s="77">
        <f t="shared" si="20"/>
        <v>0</v>
      </c>
      <c r="E79" s="77">
        <f t="shared" si="20"/>
        <v>0</v>
      </c>
      <c r="F79" s="78">
        <f t="shared" si="20"/>
        <v>0</v>
      </c>
      <c r="G79" s="76">
        <f t="shared" si="20"/>
        <v>0</v>
      </c>
      <c r="H79" s="77">
        <f t="shared" si="20"/>
        <v>0</v>
      </c>
      <c r="I79" s="78">
        <f t="shared" si="20"/>
        <v>0</v>
      </c>
      <c r="J79" s="76"/>
      <c r="K79" s="77"/>
      <c r="L79" s="139">
        <f>SUM(L81:L83)</f>
        <v>0</v>
      </c>
      <c r="M79" s="76"/>
      <c r="N79" s="77"/>
      <c r="O79" s="78">
        <f>SUM(O81:O83)</f>
        <v>0</v>
      </c>
      <c r="P79" s="191"/>
      <c r="Q79" s="175">
        <f>SUM(Q81:Q83)</f>
        <v>0</v>
      </c>
      <c r="R79" s="175"/>
      <c r="S79" s="168" t="e">
        <f t="shared" si="19"/>
        <v>#DIV/0!</v>
      </c>
    </row>
    <row r="80" spans="1:19" ht="12.75" hidden="1">
      <c r="A80" s="11" t="s">
        <v>35</v>
      </c>
      <c r="B80" s="48"/>
      <c r="C80" s="75"/>
      <c r="D80" s="73"/>
      <c r="E80" s="73"/>
      <c r="F80" s="74"/>
      <c r="G80" s="75"/>
      <c r="H80" s="73"/>
      <c r="I80" s="74"/>
      <c r="J80" s="75"/>
      <c r="K80" s="73"/>
      <c r="L80" s="136"/>
      <c r="M80" s="75"/>
      <c r="N80" s="73"/>
      <c r="O80" s="74">
        <f>L80+M80+N80</f>
        <v>0</v>
      </c>
      <c r="P80" s="187"/>
      <c r="Q80" s="171"/>
      <c r="R80" s="171"/>
      <c r="S80" s="168" t="e">
        <f t="shared" si="19"/>
        <v>#DIV/0!</v>
      </c>
    </row>
    <row r="81" spans="1:19" ht="12.75" hidden="1">
      <c r="A81" s="13" t="s">
        <v>51</v>
      </c>
      <c r="B81" s="50"/>
      <c r="C81" s="75"/>
      <c r="D81" s="73"/>
      <c r="E81" s="73"/>
      <c r="F81" s="74">
        <f>C81+D81+E81</f>
        <v>0</v>
      </c>
      <c r="G81" s="75"/>
      <c r="H81" s="73"/>
      <c r="I81" s="74">
        <f>F81+G81+H81</f>
        <v>0</v>
      </c>
      <c r="J81" s="75"/>
      <c r="K81" s="73"/>
      <c r="L81" s="136">
        <f>I81+J81+K81</f>
        <v>0</v>
      </c>
      <c r="M81" s="75"/>
      <c r="N81" s="73"/>
      <c r="O81" s="74">
        <f>L81+M81+N81</f>
        <v>0</v>
      </c>
      <c r="P81" s="187"/>
      <c r="Q81" s="171">
        <f>O81+P81</f>
        <v>0</v>
      </c>
      <c r="R81" s="171"/>
      <c r="S81" s="168" t="e">
        <f t="shared" si="19"/>
        <v>#DIV/0!</v>
      </c>
    </row>
    <row r="82" spans="1:19" ht="12.75" hidden="1">
      <c r="A82" s="13" t="s">
        <v>52</v>
      </c>
      <c r="B82" s="50"/>
      <c r="C82" s="75"/>
      <c r="D82" s="73"/>
      <c r="E82" s="73"/>
      <c r="F82" s="74">
        <f>C82+D82+E82</f>
        <v>0</v>
      </c>
      <c r="G82" s="75"/>
      <c r="H82" s="73"/>
      <c r="I82" s="74">
        <f>F82+G82+H82</f>
        <v>0</v>
      </c>
      <c r="J82" s="75"/>
      <c r="K82" s="73"/>
      <c r="L82" s="136">
        <f>I82+J82+K82</f>
        <v>0</v>
      </c>
      <c r="M82" s="75"/>
      <c r="N82" s="73"/>
      <c r="O82" s="74">
        <f>L82+M82+N82</f>
        <v>0</v>
      </c>
      <c r="P82" s="187"/>
      <c r="Q82" s="171">
        <f>O82+P82</f>
        <v>0</v>
      </c>
      <c r="R82" s="171"/>
      <c r="S82" s="168" t="e">
        <f t="shared" si="19"/>
        <v>#DIV/0!</v>
      </c>
    </row>
    <row r="83" spans="1:19" ht="12.75" hidden="1">
      <c r="A83" s="13" t="s">
        <v>53</v>
      </c>
      <c r="B83" s="50"/>
      <c r="C83" s="75"/>
      <c r="D83" s="73"/>
      <c r="E83" s="73"/>
      <c r="F83" s="74">
        <f>C83+D83+E83</f>
        <v>0</v>
      </c>
      <c r="G83" s="75"/>
      <c r="H83" s="73"/>
      <c r="I83" s="74">
        <f>F83+G83+H83</f>
        <v>0</v>
      </c>
      <c r="J83" s="75"/>
      <c r="K83" s="73"/>
      <c r="L83" s="136">
        <f>I83+J83+K83</f>
        <v>0</v>
      </c>
      <c r="M83" s="75"/>
      <c r="N83" s="73"/>
      <c r="O83" s="74">
        <f>L83+M83+N83</f>
        <v>0</v>
      </c>
      <c r="P83" s="187"/>
      <c r="Q83" s="171">
        <f>O83+P83</f>
        <v>0</v>
      </c>
      <c r="R83" s="171"/>
      <c r="S83" s="168" t="e">
        <f t="shared" si="19"/>
        <v>#DIV/0!</v>
      </c>
    </row>
    <row r="84" spans="1:19" ht="12.75">
      <c r="A84" s="10" t="s">
        <v>54</v>
      </c>
      <c r="B84" s="47"/>
      <c r="C84" s="70">
        <f aca="true" t="shared" si="21" ref="C84:Q84">SUM(C86:C99)</f>
        <v>26000</v>
      </c>
      <c r="D84" s="71">
        <f t="shared" si="21"/>
        <v>2884.9</v>
      </c>
      <c r="E84" s="71">
        <f t="shared" si="21"/>
        <v>0</v>
      </c>
      <c r="F84" s="72">
        <f t="shared" si="21"/>
        <v>28884.9</v>
      </c>
      <c r="G84" s="70">
        <f t="shared" si="21"/>
        <v>245305.81</v>
      </c>
      <c r="H84" s="71">
        <f t="shared" si="21"/>
        <v>0</v>
      </c>
      <c r="I84" s="72">
        <f t="shared" si="21"/>
        <v>274190.70999999996</v>
      </c>
      <c r="J84" s="70">
        <f t="shared" si="21"/>
        <v>379555.38</v>
      </c>
      <c r="K84" s="71">
        <f t="shared" si="21"/>
        <v>0</v>
      </c>
      <c r="L84" s="138">
        <f t="shared" si="21"/>
        <v>653746.09</v>
      </c>
      <c r="M84" s="70">
        <f t="shared" si="21"/>
        <v>230249.69</v>
      </c>
      <c r="N84" s="71">
        <f t="shared" si="21"/>
        <v>0</v>
      </c>
      <c r="O84" s="72">
        <f t="shared" si="21"/>
        <v>883995.78</v>
      </c>
      <c r="P84" s="188">
        <f t="shared" si="21"/>
        <v>200125.21999999997</v>
      </c>
      <c r="Q84" s="172">
        <f t="shared" si="21"/>
        <v>1084121</v>
      </c>
      <c r="R84" s="172">
        <f>SUM(R86:R99)</f>
        <v>1084121</v>
      </c>
      <c r="S84" s="165">
        <f t="shared" si="19"/>
        <v>100</v>
      </c>
    </row>
    <row r="85" spans="1:19" ht="12.75">
      <c r="A85" s="15" t="s">
        <v>35</v>
      </c>
      <c r="B85" s="52"/>
      <c r="C85" s="75"/>
      <c r="D85" s="73"/>
      <c r="E85" s="73"/>
      <c r="F85" s="74"/>
      <c r="G85" s="75"/>
      <c r="H85" s="73"/>
      <c r="I85" s="74"/>
      <c r="J85" s="75"/>
      <c r="K85" s="73"/>
      <c r="L85" s="136"/>
      <c r="M85" s="75"/>
      <c r="N85" s="73"/>
      <c r="O85" s="74"/>
      <c r="P85" s="187"/>
      <c r="Q85" s="171"/>
      <c r="R85" s="171"/>
      <c r="S85" s="168"/>
    </row>
    <row r="86" spans="1:19" ht="12.75" hidden="1">
      <c r="A86" s="13" t="s">
        <v>38</v>
      </c>
      <c r="B86" s="50"/>
      <c r="C86" s="75"/>
      <c r="D86" s="73"/>
      <c r="E86" s="73"/>
      <c r="F86" s="74">
        <f aca="true" t="shared" si="22" ref="F86:F99">C86+D86+E86</f>
        <v>0</v>
      </c>
      <c r="G86" s="75">
        <f>113.14</f>
        <v>113.14</v>
      </c>
      <c r="H86" s="73"/>
      <c r="I86" s="74">
        <f>F86+G86+H86</f>
        <v>113.14</v>
      </c>
      <c r="J86" s="75"/>
      <c r="K86" s="73"/>
      <c r="L86" s="136">
        <f>I86+J86+K86</f>
        <v>113.14</v>
      </c>
      <c r="M86" s="75"/>
      <c r="N86" s="73"/>
      <c r="O86" s="74">
        <f>L86+M86+N86</f>
        <v>113.14</v>
      </c>
      <c r="P86" s="187">
        <f>-113.14</f>
        <v>-113.14</v>
      </c>
      <c r="Q86" s="171">
        <f>O86+P86</f>
        <v>0</v>
      </c>
      <c r="R86" s="171">
        <v>0</v>
      </c>
      <c r="S86" s="169" t="s">
        <v>384</v>
      </c>
    </row>
    <row r="87" spans="1:19" ht="12.75">
      <c r="A87" s="17" t="s">
        <v>39</v>
      </c>
      <c r="B87" s="53"/>
      <c r="C87" s="75"/>
      <c r="D87" s="73"/>
      <c r="E87" s="73"/>
      <c r="F87" s="74">
        <f t="shared" si="22"/>
        <v>0</v>
      </c>
      <c r="G87" s="75"/>
      <c r="H87" s="73"/>
      <c r="I87" s="74">
        <f aca="true" t="shared" si="23" ref="I87:I99">F87+G87+H87</f>
        <v>0</v>
      </c>
      <c r="J87" s="75">
        <f>578.41+13.31+550.83+4323.18+1285.28+861.43</f>
        <v>7612.4400000000005</v>
      </c>
      <c r="K87" s="73"/>
      <c r="L87" s="136">
        <f aca="true" t="shared" si="24" ref="L87:L99">I87+J87+K87</f>
        <v>7612.4400000000005</v>
      </c>
      <c r="M87" s="75">
        <f>6.05+5047.08+2848.11+6.05+2662.33+679.46+21.6+1449.19+5090.78+880.13</f>
        <v>18690.78</v>
      </c>
      <c r="N87" s="73"/>
      <c r="O87" s="74">
        <f aca="true" t="shared" si="25" ref="O87:O99">L87+M87+N87</f>
        <v>26303.22</v>
      </c>
      <c r="P87" s="187">
        <f>12.07+15.73+948.05+2340.81-6.05-6.05</f>
        <v>3304.5599999999995</v>
      </c>
      <c r="Q87" s="171">
        <f>O87+P87</f>
        <v>29607.78</v>
      </c>
      <c r="R87" s="171">
        <v>29607.78</v>
      </c>
      <c r="S87" s="168">
        <f t="shared" si="19"/>
        <v>100</v>
      </c>
    </row>
    <row r="88" spans="1:19" ht="12.75">
      <c r="A88" s="17" t="s">
        <v>37</v>
      </c>
      <c r="B88" s="53"/>
      <c r="C88" s="75"/>
      <c r="D88" s="73"/>
      <c r="E88" s="73"/>
      <c r="F88" s="74">
        <f t="shared" si="22"/>
        <v>0</v>
      </c>
      <c r="G88" s="75"/>
      <c r="H88" s="73"/>
      <c r="I88" s="74">
        <f t="shared" si="23"/>
        <v>0</v>
      </c>
      <c r="J88" s="75"/>
      <c r="K88" s="73"/>
      <c r="L88" s="136">
        <f t="shared" si="24"/>
        <v>0</v>
      </c>
      <c r="M88" s="75"/>
      <c r="N88" s="73"/>
      <c r="O88" s="74">
        <f t="shared" si="25"/>
        <v>0</v>
      </c>
      <c r="P88" s="187">
        <f>1141.4</f>
        <v>1141.4</v>
      </c>
      <c r="Q88" s="171">
        <f>O88+P88</f>
        <v>1141.4</v>
      </c>
      <c r="R88" s="171">
        <v>1141.4</v>
      </c>
      <c r="S88" s="168">
        <f t="shared" si="19"/>
        <v>100</v>
      </c>
    </row>
    <row r="89" spans="1:19" ht="12.75">
      <c r="A89" s="17" t="s">
        <v>41</v>
      </c>
      <c r="B89" s="53"/>
      <c r="C89" s="75"/>
      <c r="D89" s="73"/>
      <c r="E89" s="73"/>
      <c r="F89" s="74">
        <f t="shared" si="22"/>
        <v>0</v>
      </c>
      <c r="G89" s="75"/>
      <c r="H89" s="73"/>
      <c r="I89" s="74">
        <f t="shared" si="23"/>
        <v>0</v>
      </c>
      <c r="J89" s="75"/>
      <c r="K89" s="73"/>
      <c r="L89" s="136">
        <f t="shared" si="24"/>
        <v>0</v>
      </c>
      <c r="M89" s="75">
        <v>80</v>
      </c>
      <c r="N89" s="73"/>
      <c r="O89" s="74">
        <f t="shared" si="25"/>
        <v>80</v>
      </c>
      <c r="P89" s="187"/>
      <c r="Q89" s="171">
        <f>O89+P89</f>
        <v>80</v>
      </c>
      <c r="R89" s="171">
        <v>80</v>
      </c>
      <c r="S89" s="168">
        <f t="shared" si="19"/>
        <v>100</v>
      </c>
    </row>
    <row r="90" spans="1:19" ht="12.75">
      <c r="A90" s="17" t="s">
        <v>55</v>
      </c>
      <c r="B90" s="53"/>
      <c r="C90" s="75"/>
      <c r="D90" s="73"/>
      <c r="E90" s="73"/>
      <c r="F90" s="74">
        <f t="shared" si="22"/>
        <v>0</v>
      </c>
      <c r="G90" s="75">
        <v>347.38</v>
      </c>
      <c r="H90" s="73"/>
      <c r="I90" s="74">
        <f t="shared" si="23"/>
        <v>347.38</v>
      </c>
      <c r="J90" s="75">
        <f>4816.76+12805.85+3002.71+34407.1</f>
        <v>55032.42</v>
      </c>
      <c r="K90" s="73"/>
      <c r="L90" s="136">
        <f t="shared" si="24"/>
        <v>55379.799999999996</v>
      </c>
      <c r="M90" s="75">
        <f>12165.43</f>
        <v>12165.43</v>
      </c>
      <c r="N90" s="73"/>
      <c r="O90" s="74">
        <f t="shared" si="25"/>
        <v>67545.23</v>
      </c>
      <c r="P90" s="187">
        <f>27048.69+21192.65+263.18+17326.19+19919.94-816.67</f>
        <v>84933.98</v>
      </c>
      <c r="Q90" s="171">
        <f>O90+P90</f>
        <v>152479.21</v>
      </c>
      <c r="R90" s="171">
        <v>152479.21</v>
      </c>
      <c r="S90" s="168">
        <f t="shared" si="19"/>
        <v>100</v>
      </c>
    </row>
    <row r="91" spans="1:19" ht="12.75">
      <c r="A91" s="13" t="s">
        <v>40</v>
      </c>
      <c r="B91" s="50"/>
      <c r="C91" s="75"/>
      <c r="D91" s="73"/>
      <c r="E91" s="73"/>
      <c r="F91" s="74">
        <f t="shared" si="22"/>
        <v>0</v>
      </c>
      <c r="G91" s="75">
        <f>1796.84</f>
        <v>1796.84</v>
      </c>
      <c r="H91" s="73"/>
      <c r="I91" s="74">
        <f t="shared" si="23"/>
        <v>1796.84</v>
      </c>
      <c r="J91" s="75">
        <f>1297.82+6655.11</f>
        <v>7952.929999999999</v>
      </c>
      <c r="K91" s="73"/>
      <c r="L91" s="136">
        <f t="shared" si="24"/>
        <v>9749.769999999999</v>
      </c>
      <c r="M91" s="75">
        <f>10855.3+771.37+502.06+452.2</f>
        <v>12580.93</v>
      </c>
      <c r="N91" s="73"/>
      <c r="O91" s="74">
        <f t="shared" si="25"/>
        <v>22330.699999999997</v>
      </c>
      <c r="P91" s="187"/>
      <c r="Q91" s="171">
        <f aca="true" t="shared" si="26" ref="Q91:Q96">O91+P91</f>
        <v>22330.699999999997</v>
      </c>
      <c r="R91" s="171">
        <v>22330.7</v>
      </c>
      <c r="S91" s="168">
        <f t="shared" si="19"/>
        <v>100.00000000000003</v>
      </c>
    </row>
    <row r="92" spans="1:21" ht="12.75">
      <c r="A92" s="13" t="s">
        <v>42</v>
      </c>
      <c r="B92" s="50"/>
      <c r="C92" s="75"/>
      <c r="D92" s="73"/>
      <c r="E92" s="73"/>
      <c r="F92" s="74">
        <f t="shared" si="22"/>
        <v>0</v>
      </c>
      <c r="G92" s="75">
        <f>2491.13</f>
        <v>2491.13</v>
      </c>
      <c r="H92" s="73"/>
      <c r="I92" s="74">
        <f t="shared" si="23"/>
        <v>2491.13</v>
      </c>
      <c r="J92" s="75"/>
      <c r="K92" s="73"/>
      <c r="L92" s="136">
        <f t="shared" si="24"/>
        <v>2491.13</v>
      </c>
      <c r="M92" s="75"/>
      <c r="N92" s="73"/>
      <c r="O92" s="74">
        <f t="shared" si="25"/>
        <v>2491.13</v>
      </c>
      <c r="P92" s="187">
        <f>788.51</f>
        <v>788.51</v>
      </c>
      <c r="Q92" s="171">
        <f t="shared" si="26"/>
        <v>3279.6400000000003</v>
      </c>
      <c r="R92" s="171">
        <v>3279.64</v>
      </c>
      <c r="S92" s="168">
        <f t="shared" si="19"/>
        <v>99.99999999999999</v>
      </c>
      <c r="U92" s="130"/>
    </row>
    <row r="93" spans="1:19" ht="12.75">
      <c r="A93" s="13" t="s">
        <v>204</v>
      </c>
      <c r="B93" s="50"/>
      <c r="C93" s="75"/>
      <c r="D93" s="73"/>
      <c r="E93" s="73"/>
      <c r="F93" s="74">
        <f t="shared" si="22"/>
        <v>0</v>
      </c>
      <c r="G93" s="75">
        <f>350.13+461.48</f>
        <v>811.61</v>
      </c>
      <c r="H93" s="73"/>
      <c r="I93" s="74">
        <f t="shared" si="23"/>
        <v>811.61</v>
      </c>
      <c r="J93" s="75">
        <f>1644.68+859.99+2303.22</f>
        <v>4807.889999999999</v>
      </c>
      <c r="K93" s="73"/>
      <c r="L93" s="136">
        <f t="shared" si="24"/>
        <v>5619.499999999999</v>
      </c>
      <c r="M93" s="75"/>
      <c r="N93" s="73"/>
      <c r="O93" s="74">
        <f t="shared" si="25"/>
        <v>5619.499999999999</v>
      </c>
      <c r="P93" s="187">
        <f>8124.85+2699.51+1943.2+1717.11+683.14</f>
        <v>15167.810000000001</v>
      </c>
      <c r="Q93" s="171">
        <f t="shared" si="26"/>
        <v>20787.31</v>
      </c>
      <c r="R93" s="171">
        <v>20787.31</v>
      </c>
      <c r="S93" s="168">
        <f t="shared" si="19"/>
        <v>100</v>
      </c>
    </row>
    <row r="94" spans="1:19" ht="12.75">
      <c r="A94" s="13" t="s">
        <v>205</v>
      </c>
      <c r="B94" s="50"/>
      <c r="C94" s="75"/>
      <c r="D94" s="73"/>
      <c r="E94" s="73"/>
      <c r="F94" s="74">
        <f t="shared" si="22"/>
        <v>0</v>
      </c>
      <c r="G94" s="75">
        <f>20.59+27.15</f>
        <v>47.739999999999995</v>
      </c>
      <c r="H94" s="73"/>
      <c r="I94" s="74">
        <f t="shared" si="23"/>
        <v>47.739999999999995</v>
      </c>
      <c r="J94" s="75"/>
      <c r="K94" s="73"/>
      <c r="L94" s="136">
        <f t="shared" si="24"/>
        <v>47.739999999999995</v>
      </c>
      <c r="M94" s="75"/>
      <c r="N94" s="73"/>
      <c r="O94" s="74">
        <f t="shared" si="25"/>
        <v>47.739999999999995</v>
      </c>
      <c r="P94" s="187">
        <f>477.93+40.19</f>
        <v>518.12</v>
      </c>
      <c r="Q94" s="171">
        <f t="shared" si="26"/>
        <v>565.86</v>
      </c>
      <c r="R94" s="171">
        <v>565.86</v>
      </c>
      <c r="S94" s="168">
        <f t="shared" si="19"/>
        <v>100</v>
      </c>
    </row>
    <row r="95" spans="1:19" ht="12.75">
      <c r="A95" s="13" t="s">
        <v>56</v>
      </c>
      <c r="B95" s="50"/>
      <c r="C95" s="75"/>
      <c r="D95" s="73"/>
      <c r="E95" s="73"/>
      <c r="F95" s="74">
        <f t="shared" si="22"/>
        <v>0</v>
      </c>
      <c r="G95" s="75">
        <f>130372</f>
        <v>130372</v>
      </c>
      <c r="H95" s="73"/>
      <c r="I95" s="74">
        <f t="shared" si="23"/>
        <v>130372</v>
      </c>
      <c r="J95" s="75">
        <f>164154</f>
        <v>164154</v>
      </c>
      <c r="K95" s="73"/>
      <c r="L95" s="136">
        <f t="shared" si="24"/>
        <v>294526</v>
      </c>
      <c r="M95" s="75"/>
      <c r="N95" s="73"/>
      <c r="O95" s="74">
        <f t="shared" si="25"/>
        <v>294526</v>
      </c>
      <c r="P95" s="187">
        <f>325.6-4819.21</f>
        <v>-4493.61</v>
      </c>
      <c r="Q95" s="171">
        <f t="shared" si="26"/>
        <v>290032.39</v>
      </c>
      <c r="R95" s="171">
        <v>290032.39</v>
      </c>
      <c r="S95" s="168">
        <f t="shared" si="19"/>
        <v>100</v>
      </c>
    </row>
    <row r="96" spans="1:19" ht="12.75">
      <c r="A96" s="13" t="s">
        <v>57</v>
      </c>
      <c r="B96" s="50"/>
      <c r="C96" s="75"/>
      <c r="D96" s="73"/>
      <c r="E96" s="73"/>
      <c r="F96" s="74">
        <f t="shared" si="22"/>
        <v>0</v>
      </c>
      <c r="G96" s="73">
        <f>2432.08+619.16+1667.86+2389.99+1834.97+5191.8+9170.41+348.63+12903.81+11877.24+748.24+16555.31+12098.93+11319.67+1360.23+4072.89+6290.96+8443.79</f>
        <v>109325.97</v>
      </c>
      <c r="H96" s="73"/>
      <c r="I96" s="74">
        <f t="shared" si="23"/>
        <v>109325.97</v>
      </c>
      <c r="J96" s="75">
        <f>1776.4+1306.39+3191.74+14500.64+14309.61+2998.81+14659.14+10294.45+2751.33+12629.53+14675.45+15301.35+6485.51+4707.22+1161.79+19246.34</f>
        <v>139995.69999999998</v>
      </c>
      <c r="K96" s="73"/>
      <c r="L96" s="136">
        <f t="shared" si="24"/>
        <v>249321.66999999998</v>
      </c>
      <c r="M96" s="75">
        <f>2934.11+63861.41+6936.57+458.82+1669.21+9197+1380.18+1604.91+1576.07+7656.88+4457.78+1495.08+27852.21+15.14+25417.21+13.47+13358.96+16847.54</f>
        <v>186732.55000000002</v>
      </c>
      <c r="N96" s="73"/>
      <c r="O96" s="74">
        <f t="shared" si="25"/>
        <v>436054.22</v>
      </c>
      <c r="P96" s="187">
        <f>255.54+12184.35+1275.33+5250.99+6504.02+7086.97+3030.51+5773.27+8750.4+2397.29+44081.26+22318.13</f>
        <v>118908.06</v>
      </c>
      <c r="Q96" s="171">
        <f t="shared" si="26"/>
        <v>554962.28</v>
      </c>
      <c r="R96" s="171">
        <v>554962.28</v>
      </c>
      <c r="S96" s="168">
        <f t="shared" si="19"/>
        <v>100</v>
      </c>
    </row>
    <row r="97" spans="1:19" ht="12.75" hidden="1">
      <c r="A97" s="13" t="s">
        <v>58</v>
      </c>
      <c r="B97" s="50"/>
      <c r="C97" s="75"/>
      <c r="D97" s="73"/>
      <c r="E97" s="73"/>
      <c r="F97" s="74">
        <f t="shared" si="22"/>
        <v>0</v>
      </c>
      <c r="G97" s="75"/>
      <c r="H97" s="73"/>
      <c r="I97" s="74">
        <f t="shared" si="23"/>
        <v>0</v>
      </c>
      <c r="J97" s="75"/>
      <c r="K97" s="73"/>
      <c r="L97" s="136">
        <f t="shared" si="24"/>
        <v>0</v>
      </c>
      <c r="M97" s="75"/>
      <c r="N97" s="73"/>
      <c r="O97" s="74">
        <f t="shared" si="25"/>
        <v>0</v>
      </c>
      <c r="P97" s="187"/>
      <c r="Q97" s="171">
        <f aca="true" t="shared" si="27" ref="Q97:Q159">O97+P97</f>
        <v>0</v>
      </c>
      <c r="R97" s="171"/>
      <c r="S97" s="168" t="e">
        <f t="shared" si="19"/>
        <v>#DIV/0!</v>
      </c>
    </row>
    <row r="98" spans="1:19" ht="12.75">
      <c r="A98" s="13" t="s">
        <v>44</v>
      </c>
      <c r="B98" s="50"/>
      <c r="C98" s="75"/>
      <c r="D98" s="73">
        <f>2884.9</f>
        <v>2884.9</v>
      </c>
      <c r="E98" s="73"/>
      <c r="F98" s="74">
        <f t="shared" si="22"/>
        <v>2884.9</v>
      </c>
      <c r="G98" s="75"/>
      <c r="H98" s="73"/>
      <c r="I98" s="74">
        <f t="shared" si="23"/>
        <v>2884.9</v>
      </c>
      <c r="J98" s="75"/>
      <c r="K98" s="73"/>
      <c r="L98" s="136">
        <f t="shared" si="24"/>
        <v>2884.9</v>
      </c>
      <c r="M98" s="75"/>
      <c r="N98" s="73"/>
      <c r="O98" s="74">
        <f t="shared" si="25"/>
        <v>2884.9</v>
      </c>
      <c r="P98" s="189"/>
      <c r="Q98" s="171">
        <f t="shared" si="27"/>
        <v>2884.9</v>
      </c>
      <c r="R98" s="173">
        <v>2884.9</v>
      </c>
      <c r="S98" s="168">
        <f t="shared" si="19"/>
        <v>100</v>
      </c>
    </row>
    <row r="99" spans="1:19" ht="12.75">
      <c r="A99" s="13" t="s">
        <v>216</v>
      </c>
      <c r="B99" s="50"/>
      <c r="C99" s="75">
        <v>26000</v>
      </c>
      <c r="D99" s="73"/>
      <c r="E99" s="73"/>
      <c r="F99" s="74">
        <f t="shared" si="22"/>
        <v>26000</v>
      </c>
      <c r="G99" s="75"/>
      <c r="H99" s="73"/>
      <c r="I99" s="74">
        <f t="shared" si="23"/>
        <v>26000</v>
      </c>
      <c r="J99" s="75"/>
      <c r="K99" s="73"/>
      <c r="L99" s="136">
        <f t="shared" si="24"/>
        <v>26000</v>
      </c>
      <c r="M99" s="75"/>
      <c r="N99" s="73"/>
      <c r="O99" s="74">
        <f t="shared" si="25"/>
        <v>26000</v>
      </c>
      <c r="P99" s="187">
        <f>-20030.47</f>
        <v>-20030.47</v>
      </c>
      <c r="Q99" s="171">
        <f t="shared" si="27"/>
        <v>5969.529999999999</v>
      </c>
      <c r="R99" s="171">
        <v>5969.53</v>
      </c>
      <c r="S99" s="168">
        <f t="shared" si="19"/>
        <v>100.00000000000003</v>
      </c>
    </row>
    <row r="100" spans="1:19" ht="12.75" hidden="1">
      <c r="A100" s="14" t="s">
        <v>59</v>
      </c>
      <c r="B100" s="51"/>
      <c r="C100" s="119">
        <f aca="true" t="shared" si="28" ref="C100:I100">SUM(C102:C104)</f>
        <v>0</v>
      </c>
      <c r="D100" s="77">
        <f t="shared" si="28"/>
        <v>0</v>
      </c>
      <c r="E100" s="120">
        <f t="shared" si="28"/>
        <v>0</v>
      </c>
      <c r="F100" s="78">
        <f t="shared" si="28"/>
        <v>0</v>
      </c>
      <c r="G100" s="76">
        <f t="shared" si="28"/>
        <v>0</v>
      </c>
      <c r="H100" s="77">
        <f t="shared" si="28"/>
        <v>0</v>
      </c>
      <c r="I100" s="78">
        <f t="shared" si="28"/>
        <v>0</v>
      </c>
      <c r="J100" s="76"/>
      <c r="K100" s="77"/>
      <c r="L100" s="139">
        <f>SUM(L102:L104)</f>
        <v>0</v>
      </c>
      <c r="M100" s="76"/>
      <c r="N100" s="77"/>
      <c r="O100" s="78">
        <f>SUM(O102:O104)</f>
        <v>0</v>
      </c>
      <c r="P100" s="191"/>
      <c r="Q100" s="175">
        <f>SUM(Q102:Q104)</f>
        <v>0</v>
      </c>
      <c r="R100" s="175"/>
      <c r="S100" s="168" t="e">
        <f t="shared" si="19"/>
        <v>#DIV/0!</v>
      </c>
    </row>
    <row r="101" spans="1:19" ht="12.75" hidden="1">
      <c r="A101" s="11" t="s">
        <v>35</v>
      </c>
      <c r="B101" s="48"/>
      <c r="C101" s="75"/>
      <c r="D101" s="73"/>
      <c r="E101" s="73"/>
      <c r="F101" s="74"/>
      <c r="G101" s="75"/>
      <c r="H101" s="73"/>
      <c r="I101" s="74"/>
      <c r="J101" s="75"/>
      <c r="K101" s="73"/>
      <c r="L101" s="136"/>
      <c r="M101" s="75"/>
      <c r="N101" s="73"/>
      <c r="O101" s="74"/>
      <c r="P101" s="187"/>
      <c r="Q101" s="171"/>
      <c r="R101" s="171"/>
      <c r="S101" s="168" t="e">
        <f t="shared" si="19"/>
        <v>#DIV/0!</v>
      </c>
    </row>
    <row r="102" spans="1:19" ht="12.75" hidden="1">
      <c r="A102" s="13" t="s">
        <v>60</v>
      </c>
      <c r="B102" s="50"/>
      <c r="C102" s="75"/>
      <c r="D102" s="73"/>
      <c r="E102" s="73"/>
      <c r="F102" s="74">
        <f>C102+D102+E102</f>
        <v>0</v>
      </c>
      <c r="G102" s="75"/>
      <c r="H102" s="73"/>
      <c r="I102" s="74">
        <f>F102+G102+H102</f>
        <v>0</v>
      </c>
      <c r="J102" s="75"/>
      <c r="K102" s="73"/>
      <c r="L102" s="136">
        <f>I102+J102+K102</f>
        <v>0</v>
      </c>
      <c r="M102" s="75"/>
      <c r="N102" s="73"/>
      <c r="O102" s="74">
        <f>L102+M102+N102</f>
        <v>0</v>
      </c>
      <c r="P102" s="187"/>
      <c r="Q102" s="171">
        <f t="shared" si="27"/>
        <v>0</v>
      </c>
      <c r="R102" s="171"/>
      <c r="S102" s="168" t="e">
        <f t="shared" si="19"/>
        <v>#DIV/0!</v>
      </c>
    </row>
    <row r="103" spans="1:19" ht="12.75" hidden="1">
      <c r="A103" s="13" t="s">
        <v>32</v>
      </c>
      <c r="B103" s="50"/>
      <c r="C103" s="75"/>
      <c r="D103" s="73"/>
      <c r="E103" s="73"/>
      <c r="F103" s="74">
        <f>C103+D103+E103</f>
        <v>0</v>
      </c>
      <c r="G103" s="75"/>
      <c r="H103" s="73"/>
      <c r="I103" s="74">
        <f>F103+G103+H103</f>
        <v>0</v>
      </c>
      <c r="J103" s="75"/>
      <c r="K103" s="73"/>
      <c r="L103" s="136">
        <f>I103+J103+K103</f>
        <v>0</v>
      </c>
      <c r="M103" s="75"/>
      <c r="N103" s="73"/>
      <c r="O103" s="74">
        <f>L103+M103+N103</f>
        <v>0</v>
      </c>
      <c r="P103" s="187"/>
      <c r="Q103" s="171">
        <f t="shared" si="27"/>
        <v>0</v>
      </c>
      <c r="R103" s="171"/>
      <c r="S103" s="168" t="e">
        <f t="shared" si="19"/>
        <v>#DIV/0!</v>
      </c>
    </row>
    <row r="104" spans="1:19" ht="12.75" hidden="1">
      <c r="A104" s="13" t="s">
        <v>52</v>
      </c>
      <c r="B104" s="50"/>
      <c r="C104" s="75"/>
      <c r="D104" s="73"/>
      <c r="E104" s="73"/>
      <c r="F104" s="74">
        <f>C104+D104+E104</f>
        <v>0</v>
      </c>
      <c r="G104" s="75"/>
      <c r="H104" s="73"/>
      <c r="I104" s="74">
        <f>F104+G104+H104</f>
        <v>0</v>
      </c>
      <c r="J104" s="75"/>
      <c r="K104" s="73"/>
      <c r="L104" s="136">
        <f>I104+J104+K104</f>
        <v>0</v>
      </c>
      <c r="M104" s="75"/>
      <c r="N104" s="73"/>
      <c r="O104" s="74">
        <f>L104+M104+N104</f>
        <v>0</v>
      </c>
      <c r="P104" s="187"/>
      <c r="Q104" s="171">
        <f t="shared" si="27"/>
        <v>0</v>
      </c>
      <c r="R104" s="171"/>
      <c r="S104" s="168" t="e">
        <f t="shared" si="19"/>
        <v>#DIV/0!</v>
      </c>
    </row>
    <row r="105" spans="1:19" ht="15.75" thickBot="1">
      <c r="A105" s="18" t="s">
        <v>61</v>
      </c>
      <c r="B105" s="54"/>
      <c r="C105" s="79">
        <f>C9+C12+C13+C56+C84+C49+C100</f>
        <v>3432954</v>
      </c>
      <c r="D105" s="79">
        <f aca="true" t="shared" si="29" ref="D105:Q105">D9+D12+D13+D56+D84+D49+D100</f>
        <v>5017977.4399999995</v>
      </c>
      <c r="E105" s="79">
        <f t="shared" si="29"/>
        <v>0</v>
      </c>
      <c r="F105" s="79">
        <f t="shared" si="29"/>
        <v>8450931.44</v>
      </c>
      <c r="G105" s="79">
        <f t="shared" si="29"/>
        <v>663597.55</v>
      </c>
      <c r="H105" s="79">
        <f t="shared" si="29"/>
        <v>24558.37</v>
      </c>
      <c r="I105" s="79">
        <f t="shared" si="29"/>
        <v>9139087.36</v>
      </c>
      <c r="J105" s="79">
        <f t="shared" si="29"/>
        <v>582815.76</v>
      </c>
      <c r="K105" s="79">
        <f t="shared" si="29"/>
        <v>12100</v>
      </c>
      <c r="L105" s="79">
        <f t="shared" si="29"/>
        <v>9734003.12</v>
      </c>
      <c r="M105" s="79">
        <f t="shared" si="29"/>
        <v>387137.95</v>
      </c>
      <c r="N105" s="79">
        <f t="shared" si="29"/>
        <v>0</v>
      </c>
      <c r="O105" s="79">
        <f t="shared" si="29"/>
        <v>10121141.069999998</v>
      </c>
      <c r="P105" s="192">
        <f t="shared" si="29"/>
        <v>378201.85</v>
      </c>
      <c r="Q105" s="206">
        <f t="shared" si="29"/>
        <v>10499342.919999998</v>
      </c>
      <c r="R105" s="206">
        <f>R9+R13+R56+R84+R49+R100</f>
        <v>10721117.24</v>
      </c>
      <c r="S105" s="213">
        <f t="shared" si="19"/>
        <v>102.11226856470749</v>
      </c>
    </row>
    <row r="106" spans="1:19" ht="12.75">
      <c r="A106" s="10" t="s">
        <v>62</v>
      </c>
      <c r="B106" s="47"/>
      <c r="C106" s="70"/>
      <c r="D106" s="73"/>
      <c r="E106" s="73"/>
      <c r="F106" s="74"/>
      <c r="G106" s="75"/>
      <c r="H106" s="73"/>
      <c r="I106" s="74"/>
      <c r="J106" s="75"/>
      <c r="K106" s="73"/>
      <c r="L106" s="136"/>
      <c r="M106" s="75"/>
      <c r="N106" s="73"/>
      <c r="O106" s="74"/>
      <c r="P106" s="187"/>
      <c r="Q106" s="171"/>
      <c r="R106" s="171"/>
      <c r="S106" s="168"/>
    </row>
    <row r="107" spans="1:19" ht="12.75">
      <c r="A107" s="10" t="s">
        <v>63</v>
      </c>
      <c r="B107" s="57"/>
      <c r="C107" s="70">
        <f aca="true" t="shared" si="30" ref="C107:O107">C108+C120</f>
        <v>40524.6</v>
      </c>
      <c r="D107" s="71">
        <f t="shared" si="30"/>
        <v>16865.3</v>
      </c>
      <c r="E107" s="71">
        <f t="shared" si="30"/>
        <v>0</v>
      </c>
      <c r="F107" s="72">
        <f t="shared" si="30"/>
        <v>57389.9</v>
      </c>
      <c r="G107" s="70">
        <f t="shared" si="30"/>
        <v>-640.35</v>
      </c>
      <c r="H107" s="71">
        <f t="shared" si="30"/>
        <v>260</v>
      </c>
      <c r="I107" s="72">
        <f t="shared" si="30"/>
        <v>57009.55</v>
      </c>
      <c r="J107" s="70">
        <f t="shared" si="30"/>
        <v>1105.4</v>
      </c>
      <c r="K107" s="71">
        <f t="shared" si="30"/>
        <v>0</v>
      </c>
      <c r="L107" s="138">
        <f t="shared" si="30"/>
        <v>58114.950000000004</v>
      </c>
      <c r="M107" s="70">
        <f t="shared" si="30"/>
        <v>0</v>
      </c>
      <c r="N107" s="71">
        <f t="shared" si="30"/>
        <v>0</v>
      </c>
      <c r="O107" s="72">
        <f t="shared" si="30"/>
        <v>58114.95</v>
      </c>
      <c r="P107" s="188">
        <f>P108+P120</f>
        <v>0</v>
      </c>
      <c r="Q107" s="172">
        <f>Q108+Q120</f>
        <v>58114.95</v>
      </c>
      <c r="R107" s="172">
        <f>R108+R120</f>
        <v>46702.579999999994</v>
      </c>
      <c r="S107" s="165">
        <f t="shared" si="19"/>
        <v>80.36241965277436</v>
      </c>
    </row>
    <row r="108" spans="1:19" ht="12.75">
      <c r="A108" s="19" t="s">
        <v>64</v>
      </c>
      <c r="B108" s="57"/>
      <c r="C108" s="80">
        <f aca="true" t="shared" si="31" ref="C108:O108">SUM(C110:C119)</f>
        <v>40524.6</v>
      </c>
      <c r="D108" s="81">
        <f t="shared" si="31"/>
        <v>13980.4</v>
      </c>
      <c r="E108" s="81">
        <f t="shared" si="31"/>
        <v>0</v>
      </c>
      <c r="F108" s="82">
        <f t="shared" si="31"/>
        <v>54505</v>
      </c>
      <c r="G108" s="80">
        <f t="shared" si="31"/>
        <v>-770.35</v>
      </c>
      <c r="H108" s="81">
        <f t="shared" si="31"/>
        <v>0</v>
      </c>
      <c r="I108" s="82">
        <f t="shared" si="31"/>
        <v>53734.65</v>
      </c>
      <c r="J108" s="80">
        <f t="shared" si="31"/>
        <v>924.4</v>
      </c>
      <c r="K108" s="81">
        <f t="shared" si="31"/>
        <v>0</v>
      </c>
      <c r="L108" s="140">
        <f t="shared" si="31"/>
        <v>54659.05</v>
      </c>
      <c r="M108" s="80">
        <f t="shared" si="31"/>
        <v>-158.95000000000002</v>
      </c>
      <c r="N108" s="81">
        <f t="shared" si="31"/>
        <v>0</v>
      </c>
      <c r="O108" s="82">
        <f t="shared" si="31"/>
        <v>54500.1</v>
      </c>
      <c r="P108" s="193">
        <f>SUM(P110:P119)</f>
        <v>0</v>
      </c>
      <c r="Q108" s="176">
        <f>SUM(Q110:Q119)</f>
        <v>54500.1</v>
      </c>
      <c r="R108" s="176">
        <f>SUM(R110:R119)</f>
        <v>43088.34</v>
      </c>
      <c r="S108" s="214">
        <f t="shared" si="19"/>
        <v>79.06102924581789</v>
      </c>
    </row>
    <row r="109" spans="1:19" ht="10.5" customHeight="1">
      <c r="A109" s="15" t="s">
        <v>35</v>
      </c>
      <c r="B109" s="43"/>
      <c r="C109" s="75"/>
      <c r="D109" s="73"/>
      <c r="E109" s="73"/>
      <c r="F109" s="74"/>
      <c r="G109" s="75"/>
      <c r="H109" s="73"/>
      <c r="I109" s="74"/>
      <c r="J109" s="75"/>
      <c r="K109" s="73"/>
      <c r="L109" s="136"/>
      <c r="M109" s="75"/>
      <c r="N109" s="73"/>
      <c r="O109" s="74"/>
      <c r="P109" s="187"/>
      <c r="Q109" s="171"/>
      <c r="R109" s="171"/>
      <c r="S109" s="168"/>
    </row>
    <row r="110" spans="1:19" ht="12.75">
      <c r="A110" s="13" t="s">
        <v>170</v>
      </c>
      <c r="B110" s="55"/>
      <c r="C110" s="75">
        <v>16411.3</v>
      </c>
      <c r="D110" s="73"/>
      <c r="E110" s="73"/>
      <c r="F110" s="74">
        <f aca="true" t="shared" si="32" ref="F110:F119">C110+D110+E110</f>
        <v>16411.3</v>
      </c>
      <c r="G110" s="75">
        <v>309.7</v>
      </c>
      <c r="H110" s="73"/>
      <c r="I110" s="74">
        <f aca="true" t="shared" si="33" ref="I110:I119">F110+G110+H110</f>
        <v>16721</v>
      </c>
      <c r="J110" s="75"/>
      <c r="K110" s="73"/>
      <c r="L110" s="136">
        <f aca="true" t="shared" si="34" ref="L110:L124">I110+J110+K110</f>
        <v>16721</v>
      </c>
      <c r="M110" s="75"/>
      <c r="N110" s="73"/>
      <c r="O110" s="74">
        <f aca="true" t="shared" si="35" ref="O110:O119">L110+M110+N110</f>
        <v>16721</v>
      </c>
      <c r="P110" s="187"/>
      <c r="Q110" s="171">
        <f t="shared" si="27"/>
        <v>16721</v>
      </c>
      <c r="R110" s="171">
        <v>13486.48</v>
      </c>
      <c r="S110" s="168">
        <f t="shared" si="19"/>
        <v>80.65594163028527</v>
      </c>
    </row>
    <row r="111" spans="1:19" ht="12.75">
      <c r="A111" s="13" t="s">
        <v>65</v>
      </c>
      <c r="B111" s="55"/>
      <c r="C111" s="75">
        <v>3843.5</v>
      </c>
      <c r="D111" s="73"/>
      <c r="E111" s="73"/>
      <c r="F111" s="74">
        <f t="shared" si="32"/>
        <v>3843.5</v>
      </c>
      <c r="G111" s="75">
        <v>213.2</v>
      </c>
      <c r="H111" s="73"/>
      <c r="I111" s="74">
        <f t="shared" si="33"/>
        <v>4056.7</v>
      </c>
      <c r="J111" s="75"/>
      <c r="K111" s="73"/>
      <c r="L111" s="136">
        <f t="shared" si="34"/>
        <v>4056.7</v>
      </c>
      <c r="M111" s="75"/>
      <c r="N111" s="73"/>
      <c r="O111" s="74">
        <f t="shared" si="35"/>
        <v>4056.7</v>
      </c>
      <c r="P111" s="187"/>
      <c r="Q111" s="171">
        <f t="shared" si="27"/>
        <v>4056.7</v>
      </c>
      <c r="R111" s="171">
        <v>3204.68</v>
      </c>
      <c r="S111" s="168">
        <f t="shared" si="19"/>
        <v>78.99721448467967</v>
      </c>
    </row>
    <row r="112" spans="1:19" ht="12.75">
      <c r="A112" s="13" t="s">
        <v>66</v>
      </c>
      <c r="B112" s="55"/>
      <c r="C112" s="75">
        <v>1100</v>
      </c>
      <c r="D112" s="73">
        <f>500</f>
        <v>500</v>
      </c>
      <c r="E112" s="73"/>
      <c r="F112" s="74">
        <f t="shared" si="32"/>
        <v>1600</v>
      </c>
      <c r="G112" s="75">
        <f>300</f>
        <v>300</v>
      </c>
      <c r="H112" s="73"/>
      <c r="I112" s="74">
        <f t="shared" si="33"/>
        <v>1900</v>
      </c>
      <c r="J112" s="75">
        <f>300</f>
        <v>300</v>
      </c>
      <c r="K112" s="73"/>
      <c r="L112" s="136">
        <f t="shared" si="34"/>
        <v>2200</v>
      </c>
      <c r="M112" s="75"/>
      <c r="N112" s="73"/>
      <c r="O112" s="74">
        <f t="shared" si="35"/>
        <v>2200</v>
      </c>
      <c r="P112" s="187"/>
      <c r="Q112" s="171">
        <f t="shared" si="27"/>
        <v>2200</v>
      </c>
      <c r="R112" s="171">
        <v>1832.77</v>
      </c>
      <c r="S112" s="168">
        <f t="shared" si="19"/>
        <v>83.30772727272728</v>
      </c>
    </row>
    <row r="113" spans="1:19" ht="12.75" hidden="1">
      <c r="A113" s="13" t="s">
        <v>210</v>
      </c>
      <c r="B113" s="55"/>
      <c r="C113" s="75"/>
      <c r="D113" s="73"/>
      <c r="E113" s="73"/>
      <c r="F113" s="74">
        <f t="shared" si="32"/>
        <v>0</v>
      </c>
      <c r="G113" s="75"/>
      <c r="H113" s="73"/>
      <c r="I113" s="74">
        <f t="shared" si="33"/>
        <v>0</v>
      </c>
      <c r="J113" s="75"/>
      <c r="K113" s="73"/>
      <c r="L113" s="136">
        <f t="shared" si="34"/>
        <v>0</v>
      </c>
      <c r="M113" s="75"/>
      <c r="N113" s="73"/>
      <c r="O113" s="74">
        <f t="shared" si="35"/>
        <v>0</v>
      </c>
      <c r="P113" s="187"/>
      <c r="Q113" s="171">
        <f t="shared" si="27"/>
        <v>0</v>
      </c>
      <c r="R113" s="171"/>
      <c r="S113" s="168" t="e">
        <f t="shared" si="19"/>
        <v>#DIV/0!</v>
      </c>
    </row>
    <row r="114" spans="1:19" ht="12.75" hidden="1">
      <c r="A114" s="13" t="s">
        <v>211</v>
      </c>
      <c r="B114" s="55"/>
      <c r="C114" s="75"/>
      <c r="D114" s="73"/>
      <c r="E114" s="73"/>
      <c r="F114" s="74">
        <f t="shared" si="32"/>
        <v>0</v>
      </c>
      <c r="G114" s="75"/>
      <c r="H114" s="73"/>
      <c r="I114" s="74">
        <f t="shared" si="33"/>
        <v>0</v>
      </c>
      <c r="J114" s="75"/>
      <c r="K114" s="73"/>
      <c r="L114" s="136">
        <f t="shared" si="34"/>
        <v>0</v>
      </c>
      <c r="M114" s="75"/>
      <c r="N114" s="73"/>
      <c r="O114" s="74">
        <f t="shared" si="35"/>
        <v>0</v>
      </c>
      <c r="P114" s="187"/>
      <c r="Q114" s="171">
        <f t="shared" si="27"/>
        <v>0</v>
      </c>
      <c r="R114" s="171"/>
      <c r="S114" s="168" t="e">
        <f t="shared" si="19"/>
        <v>#DIV/0!</v>
      </c>
    </row>
    <row r="115" spans="1:19" ht="12.75">
      <c r="A115" s="13" t="s">
        <v>67</v>
      </c>
      <c r="B115" s="55"/>
      <c r="C115" s="75">
        <v>9795.8</v>
      </c>
      <c r="D115" s="73">
        <f>2125-500+6000</f>
        <v>7625</v>
      </c>
      <c r="E115" s="73"/>
      <c r="F115" s="74">
        <f t="shared" si="32"/>
        <v>17420.8</v>
      </c>
      <c r="G115" s="75">
        <f>-300-1185.8+13.95+8.6</f>
        <v>-1463.25</v>
      </c>
      <c r="H115" s="73"/>
      <c r="I115" s="74">
        <f t="shared" si="33"/>
        <v>15957.55</v>
      </c>
      <c r="J115" s="75">
        <f>55.4-300-81+50</f>
        <v>-275.6</v>
      </c>
      <c r="K115" s="73"/>
      <c r="L115" s="136">
        <f t="shared" si="34"/>
        <v>15681.949999999999</v>
      </c>
      <c r="M115" s="75">
        <f>-64+64</f>
        <v>0</v>
      </c>
      <c r="N115" s="73"/>
      <c r="O115" s="74">
        <f t="shared" si="35"/>
        <v>15681.949999999999</v>
      </c>
      <c r="P115" s="187"/>
      <c r="Q115" s="171">
        <f t="shared" si="27"/>
        <v>15681.949999999999</v>
      </c>
      <c r="R115" s="171">
        <v>9130.56</v>
      </c>
      <c r="S115" s="168">
        <f t="shared" si="19"/>
        <v>58.2233714557182</v>
      </c>
    </row>
    <row r="116" spans="1:19" ht="12.75">
      <c r="A116" s="13" t="s">
        <v>286</v>
      </c>
      <c r="B116" s="55">
        <v>95029</v>
      </c>
      <c r="C116" s="75"/>
      <c r="D116" s="73">
        <v>3505.4</v>
      </c>
      <c r="E116" s="73"/>
      <c r="F116" s="74">
        <f t="shared" si="32"/>
        <v>3505.4</v>
      </c>
      <c r="G116" s="75"/>
      <c r="H116" s="73"/>
      <c r="I116" s="74">
        <f t="shared" si="33"/>
        <v>3505.4</v>
      </c>
      <c r="J116" s="75"/>
      <c r="K116" s="73"/>
      <c r="L116" s="136">
        <f t="shared" si="34"/>
        <v>3505.4</v>
      </c>
      <c r="M116" s="75"/>
      <c r="N116" s="73"/>
      <c r="O116" s="74">
        <f t="shared" si="35"/>
        <v>3505.4</v>
      </c>
      <c r="P116" s="187"/>
      <c r="Q116" s="171">
        <f t="shared" si="27"/>
        <v>3505.4</v>
      </c>
      <c r="R116" s="171">
        <v>3505.4</v>
      </c>
      <c r="S116" s="168">
        <f t="shared" si="19"/>
        <v>100</v>
      </c>
    </row>
    <row r="117" spans="1:19" ht="12.75" hidden="1">
      <c r="A117" s="13" t="s">
        <v>99</v>
      </c>
      <c r="B117" s="55"/>
      <c r="C117" s="75"/>
      <c r="D117" s="73"/>
      <c r="E117" s="73"/>
      <c r="F117" s="74">
        <f t="shared" si="32"/>
        <v>0</v>
      </c>
      <c r="G117" s="75"/>
      <c r="H117" s="73"/>
      <c r="I117" s="74">
        <f t="shared" si="33"/>
        <v>0</v>
      </c>
      <c r="J117" s="75"/>
      <c r="K117" s="73"/>
      <c r="L117" s="136">
        <f t="shared" si="34"/>
        <v>0</v>
      </c>
      <c r="M117" s="75"/>
      <c r="N117" s="73"/>
      <c r="O117" s="74"/>
      <c r="P117" s="187"/>
      <c r="Q117" s="171">
        <f t="shared" si="27"/>
        <v>0</v>
      </c>
      <c r="R117" s="171"/>
      <c r="S117" s="168" t="e">
        <f t="shared" si="19"/>
        <v>#DIV/0!</v>
      </c>
    </row>
    <row r="118" spans="1:19" ht="12.75">
      <c r="A118" s="13" t="s">
        <v>68</v>
      </c>
      <c r="B118" s="55"/>
      <c r="C118" s="75">
        <v>500</v>
      </c>
      <c r="D118" s="73"/>
      <c r="E118" s="73"/>
      <c r="F118" s="74">
        <f t="shared" si="32"/>
        <v>500</v>
      </c>
      <c r="G118" s="75"/>
      <c r="H118" s="73"/>
      <c r="I118" s="74">
        <f t="shared" si="33"/>
        <v>500</v>
      </c>
      <c r="J118" s="75"/>
      <c r="K118" s="73"/>
      <c r="L118" s="136">
        <f t="shared" si="34"/>
        <v>500</v>
      </c>
      <c r="M118" s="75">
        <f>-152.05</f>
        <v>-152.05</v>
      </c>
      <c r="N118" s="73"/>
      <c r="O118" s="74">
        <f t="shared" si="35"/>
        <v>347.95</v>
      </c>
      <c r="P118" s="187"/>
      <c r="Q118" s="171">
        <f t="shared" si="27"/>
        <v>347.95</v>
      </c>
      <c r="R118" s="171">
        <v>0</v>
      </c>
      <c r="S118" s="168">
        <f t="shared" si="19"/>
        <v>0</v>
      </c>
    </row>
    <row r="119" spans="1:19" ht="12.75">
      <c r="A119" s="13" t="s">
        <v>69</v>
      </c>
      <c r="B119" s="55"/>
      <c r="C119" s="75">
        <v>8874</v>
      </c>
      <c r="D119" s="73">
        <f>1100+1250</f>
        <v>2350</v>
      </c>
      <c r="E119" s="73"/>
      <c r="F119" s="74">
        <f t="shared" si="32"/>
        <v>11224</v>
      </c>
      <c r="G119" s="75">
        <f>-130</f>
        <v>-130</v>
      </c>
      <c r="H119" s="73"/>
      <c r="I119" s="74">
        <f t="shared" si="33"/>
        <v>11094</v>
      </c>
      <c r="J119" s="75">
        <f>-100+1000</f>
        <v>900</v>
      </c>
      <c r="K119" s="73"/>
      <c r="L119" s="136">
        <f t="shared" si="34"/>
        <v>11994</v>
      </c>
      <c r="M119" s="75">
        <f>57.1-64</f>
        <v>-6.899999999999999</v>
      </c>
      <c r="N119" s="73"/>
      <c r="O119" s="74">
        <f t="shared" si="35"/>
        <v>11987.1</v>
      </c>
      <c r="P119" s="187"/>
      <c r="Q119" s="171">
        <f t="shared" si="27"/>
        <v>11987.1</v>
      </c>
      <c r="R119" s="171">
        <v>11928.45</v>
      </c>
      <c r="S119" s="168">
        <f t="shared" si="19"/>
        <v>99.51072402833046</v>
      </c>
    </row>
    <row r="120" spans="1:19" ht="12.75">
      <c r="A120" s="20" t="s">
        <v>70</v>
      </c>
      <c r="B120" s="59"/>
      <c r="C120" s="85">
        <f aca="true" t="shared" si="36" ref="C120:Q120">SUM(C122:C125)</f>
        <v>0</v>
      </c>
      <c r="D120" s="86">
        <f t="shared" si="36"/>
        <v>2884.9</v>
      </c>
      <c r="E120" s="86">
        <f t="shared" si="36"/>
        <v>0</v>
      </c>
      <c r="F120" s="87">
        <f t="shared" si="36"/>
        <v>2884.9</v>
      </c>
      <c r="G120" s="85">
        <f t="shared" si="36"/>
        <v>130</v>
      </c>
      <c r="H120" s="86">
        <f t="shared" si="36"/>
        <v>260</v>
      </c>
      <c r="I120" s="87">
        <f t="shared" si="36"/>
        <v>3274.9</v>
      </c>
      <c r="J120" s="85">
        <f t="shared" si="36"/>
        <v>181</v>
      </c>
      <c r="K120" s="159">
        <f t="shared" si="36"/>
        <v>0</v>
      </c>
      <c r="L120" s="87">
        <f t="shared" si="36"/>
        <v>3455.9</v>
      </c>
      <c r="M120" s="85">
        <f t="shared" si="36"/>
        <v>158.95</v>
      </c>
      <c r="N120" s="86">
        <f t="shared" si="36"/>
        <v>0</v>
      </c>
      <c r="O120" s="87">
        <f t="shared" si="36"/>
        <v>3614.85</v>
      </c>
      <c r="P120" s="194">
        <f t="shared" si="36"/>
        <v>0</v>
      </c>
      <c r="Q120" s="177">
        <f t="shared" si="36"/>
        <v>3614.85</v>
      </c>
      <c r="R120" s="177">
        <f>SUM(R122:R125)</f>
        <v>3614.24</v>
      </c>
      <c r="S120" s="214">
        <f t="shared" si="19"/>
        <v>99.98312516425301</v>
      </c>
    </row>
    <row r="121" spans="1:19" ht="11.25" customHeight="1">
      <c r="A121" s="11" t="s">
        <v>35</v>
      </c>
      <c r="B121" s="55"/>
      <c r="C121" s="76"/>
      <c r="D121" s="77"/>
      <c r="E121" s="77"/>
      <c r="F121" s="78"/>
      <c r="G121" s="76"/>
      <c r="H121" s="77"/>
      <c r="I121" s="78"/>
      <c r="J121" s="76"/>
      <c r="K121" s="77"/>
      <c r="L121" s="136"/>
      <c r="M121" s="76"/>
      <c r="N121" s="77"/>
      <c r="O121" s="78"/>
      <c r="P121" s="187"/>
      <c r="Q121" s="171"/>
      <c r="R121" s="171"/>
      <c r="S121" s="168"/>
    </row>
    <row r="122" spans="1:19" ht="12.75" hidden="1">
      <c r="A122" s="13" t="s">
        <v>212</v>
      </c>
      <c r="B122" s="55"/>
      <c r="C122" s="75"/>
      <c r="D122" s="73"/>
      <c r="E122" s="73"/>
      <c r="F122" s="74">
        <f>C122+D122+E122</f>
        <v>0</v>
      </c>
      <c r="G122" s="75"/>
      <c r="H122" s="73"/>
      <c r="I122" s="74">
        <f>F122+G122+H122</f>
        <v>0</v>
      </c>
      <c r="J122" s="75"/>
      <c r="K122" s="73"/>
      <c r="L122" s="136">
        <f t="shared" si="34"/>
        <v>0</v>
      </c>
      <c r="M122" s="75"/>
      <c r="N122" s="73"/>
      <c r="O122" s="74">
        <f>L122+M122+N122</f>
        <v>0</v>
      </c>
      <c r="P122" s="187"/>
      <c r="Q122" s="171">
        <f t="shared" si="27"/>
        <v>0</v>
      </c>
      <c r="R122" s="171"/>
      <c r="S122" s="168" t="e">
        <f t="shared" si="19"/>
        <v>#DIV/0!</v>
      </c>
    </row>
    <row r="123" spans="1:19" ht="12.75">
      <c r="A123" s="13" t="s">
        <v>286</v>
      </c>
      <c r="B123" s="55"/>
      <c r="C123" s="75"/>
      <c r="D123" s="73">
        <f>2884.9</f>
        <v>2884.9</v>
      </c>
      <c r="E123" s="73"/>
      <c r="F123" s="74">
        <f>C123+D123+E123</f>
        <v>2884.9</v>
      </c>
      <c r="G123" s="75"/>
      <c r="H123" s="73"/>
      <c r="I123" s="74">
        <f>F123+G123+H123</f>
        <v>2884.9</v>
      </c>
      <c r="J123" s="75"/>
      <c r="K123" s="73"/>
      <c r="L123" s="136">
        <f t="shared" si="34"/>
        <v>2884.9</v>
      </c>
      <c r="M123" s="75"/>
      <c r="N123" s="73"/>
      <c r="O123" s="74">
        <f>L123+M123+N123</f>
        <v>2884.9</v>
      </c>
      <c r="P123" s="187"/>
      <c r="Q123" s="171">
        <f t="shared" si="27"/>
        <v>2884.9</v>
      </c>
      <c r="R123" s="171">
        <v>2884.9</v>
      </c>
      <c r="S123" s="168">
        <f t="shared" si="19"/>
        <v>100</v>
      </c>
    </row>
    <row r="124" spans="1:19" ht="12.75">
      <c r="A124" s="13" t="s">
        <v>69</v>
      </c>
      <c r="B124" s="55"/>
      <c r="C124" s="75"/>
      <c r="D124" s="73"/>
      <c r="E124" s="73"/>
      <c r="F124" s="74">
        <f>C124+D124+E124</f>
        <v>0</v>
      </c>
      <c r="G124" s="75">
        <f>130</f>
        <v>130</v>
      </c>
      <c r="H124" s="73"/>
      <c r="I124" s="74">
        <f>F124+G124+H124</f>
        <v>130</v>
      </c>
      <c r="J124" s="75">
        <f>100</f>
        <v>100</v>
      </c>
      <c r="K124" s="73"/>
      <c r="L124" s="136">
        <f t="shared" si="34"/>
        <v>230</v>
      </c>
      <c r="M124" s="75">
        <f>94.95+64</f>
        <v>158.95</v>
      </c>
      <c r="N124" s="73"/>
      <c r="O124" s="74">
        <f>L124+M124+N124</f>
        <v>388.95</v>
      </c>
      <c r="P124" s="187"/>
      <c r="Q124" s="171">
        <f t="shared" si="27"/>
        <v>388.95</v>
      </c>
      <c r="R124" s="171">
        <v>388.72</v>
      </c>
      <c r="S124" s="168">
        <f t="shared" si="19"/>
        <v>99.94086643527447</v>
      </c>
    </row>
    <row r="125" spans="1:19" ht="12.75">
      <c r="A125" s="16" t="s">
        <v>71</v>
      </c>
      <c r="B125" s="58"/>
      <c r="C125" s="83"/>
      <c r="D125" s="84"/>
      <c r="E125" s="84"/>
      <c r="F125" s="121">
        <f>C125+D125+E125</f>
        <v>0</v>
      </c>
      <c r="G125" s="83"/>
      <c r="H125" s="84">
        <v>260</v>
      </c>
      <c r="I125" s="121">
        <f>F125+G125+H125</f>
        <v>260</v>
      </c>
      <c r="J125" s="83">
        <f>81</f>
        <v>81</v>
      </c>
      <c r="K125" s="84"/>
      <c r="L125" s="150">
        <f>I125+J125+K125</f>
        <v>341</v>
      </c>
      <c r="M125" s="83"/>
      <c r="N125" s="84"/>
      <c r="O125" s="121">
        <f>L125+M125+N125</f>
        <v>341</v>
      </c>
      <c r="P125" s="195"/>
      <c r="Q125" s="207">
        <f t="shared" si="27"/>
        <v>341</v>
      </c>
      <c r="R125" s="207">
        <v>340.62</v>
      </c>
      <c r="S125" s="215">
        <f t="shared" si="19"/>
        <v>99.88856304985337</v>
      </c>
    </row>
    <row r="126" spans="1:19" ht="12.75">
      <c r="A126" s="10" t="s">
        <v>72</v>
      </c>
      <c r="B126" s="59"/>
      <c r="C126" s="70">
        <f aca="true" t="shared" si="37" ref="C126:O126">C127+C149</f>
        <v>300137.1</v>
      </c>
      <c r="D126" s="71">
        <f t="shared" si="37"/>
        <v>12493.51</v>
      </c>
      <c r="E126" s="71">
        <f t="shared" si="37"/>
        <v>0</v>
      </c>
      <c r="F126" s="72">
        <f t="shared" si="37"/>
        <v>312630.6099999999</v>
      </c>
      <c r="G126" s="70">
        <f t="shared" si="37"/>
        <v>14667.03</v>
      </c>
      <c r="H126" s="71">
        <f t="shared" si="37"/>
        <v>0</v>
      </c>
      <c r="I126" s="72">
        <f t="shared" si="37"/>
        <v>327297.64</v>
      </c>
      <c r="J126" s="70">
        <f t="shared" si="37"/>
        <v>2866.83</v>
      </c>
      <c r="K126" s="71">
        <f t="shared" si="37"/>
        <v>1131</v>
      </c>
      <c r="L126" s="138">
        <f t="shared" si="37"/>
        <v>331295.47</v>
      </c>
      <c r="M126" s="70">
        <f t="shared" si="37"/>
        <v>23111.99</v>
      </c>
      <c r="N126" s="71">
        <f t="shared" si="37"/>
        <v>0</v>
      </c>
      <c r="O126" s="72">
        <f t="shared" si="37"/>
        <v>354407.45999999996</v>
      </c>
      <c r="P126" s="188">
        <f>P127+P149</f>
        <v>0</v>
      </c>
      <c r="Q126" s="172">
        <f>Q127+Q149</f>
        <v>354407.45999999996</v>
      </c>
      <c r="R126" s="172">
        <f>R127+R149</f>
        <v>344060.6</v>
      </c>
      <c r="S126" s="165">
        <f t="shared" si="19"/>
        <v>97.08051856470516</v>
      </c>
    </row>
    <row r="127" spans="1:19" ht="12.75">
      <c r="A127" s="19" t="s">
        <v>64</v>
      </c>
      <c r="B127" s="59"/>
      <c r="C127" s="80">
        <f aca="true" t="shared" si="38" ref="C127:O127">SUM(C129:C148)</f>
        <v>300137.1</v>
      </c>
      <c r="D127" s="81">
        <f t="shared" si="38"/>
        <v>1348.85</v>
      </c>
      <c r="E127" s="81">
        <f t="shared" si="38"/>
        <v>0</v>
      </c>
      <c r="F127" s="82">
        <f t="shared" si="38"/>
        <v>301485.94999999995</v>
      </c>
      <c r="G127" s="80">
        <f t="shared" si="38"/>
        <v>4496.5</v>
      </c>
      <c r="H127" s="81">
        <f t="shared" si="38"/>
        <v>0</v>
      </c>
      <c r="I127" s="82">
        <f t="shared" si="38"/>
        <v>305982.45</v>
      </c>
      <c r="J127" s="80">
        <f t="shared" si="38"/>
        <v>1959.3299999999997</v>
      </c>
      <c r="K127" s="81">
        <f t="shared" si="38"/>
        <v>1131</v>
      </c>
      <c r="L127" s="140">
        <f t="shared" si="38"/>
        <v>309072.77999999997</v>
      </c>
      <c r="M127" s="80">
        <f t="shared" si="38"/>
        <v>1321.81</v>
      </c>
      <c r="N127" s="81">
        <f t="shared" si="38"/>
        <v>0</v>
      </c>
      <c r="O127" s="82">
        <f t="shared" si="38"/>
        <v>310394.58999999997</v>
      </c>
      <c r="P127" s="193">
        <f>SUM(P129:P148)</f>
        <v>0</v>
      </c>
      <c r="Q127" s="176">
        <f>SUM(Q129:Q148)</f>
        <v>310394.58999999997</v>
      </c>
      <c r="R127" s="176">
        <f>SUM(R129:R148)</f>
        <v>300631.86</v>
      </c>
      <c r="S127" s="214">
        <f t="shared" si="19"/>
        <v>96.8547357735842</v>
      </c>
    </row>
    <row r="128" spans="1:19" ht="12.75">
      <c r="A128" s="15" t="s">
        <v>35</v>
      </c>
      <c r="B128" s="55"/>
      <c r="C128" s="75"/>
      <c r="D128" s="73"/>
      <c r="E128" s="73"/>
      <c r="F128" s="74"/>
      <c r="G128" s="75"/>
      <c r="H128" s="73"/>
      <c r="I128" s="74"/>
      <c r="J128" s="75"/>
      <c r="K128" s="73"/>
      <c r="L128" s="136"/>
      <c r="M128" s="75"/>
      <c r="N128" s="73"/>
      <c r="O128" s="74"/>
      <c r="P128" s="187"/>
      <c r="Q128" s="171"/>
      <c r="R128" s="171"/>
      <c r="S128" s="168"/>
    </row>
    <row r="129" spans="1:19" ht="12.75">
      <c r="A129" s="22" t="s">
        <v>171</v>
      </c>
      <c r="B129" s="55"/>
      <c r="C129" s="75">
        <v>149660.6</v>
      </c>
      <c r="D129" s="73"/>
      <c r="E129" s="73"/>
      <c r="F129" s="74">
        <f aca="true" t="shared" si="39" ref="F129:F148">C129+D129+E129</f>
        <v>149660.6</v>
      </c>
      <c r="G129" s="75">
        <v>215</v>
      </c>
      <c r="H129" s="73"/>
      <c r="I129" s="74">
        <f>F129+G129+H129</f>
        <v>149875.6</v>
      </c>
      <c r="J129" s="75">
        <f>1040+245</f>
        <v>1285</v>
      </c>
      <c r="K129" s="73"/>
      <c r="L129" s="136">
        <f>I129+J129+K129</f>
        <v>151160.6</v>
      </c>
      <c r="M129" s="75">
        <f>260+57.03-360</f>
        <v>-42.97000000000003</v>
      </c>
      <c r="N129" s="73"/>
      <c r="O129" s="74">
        <f>L129+M129+N129</f>
        <v>151117.63</v>
      </c>
      <c r="P129" s="187"/>
      <c r="Q129" s="171">
        <f t="shared" si="27"/>
        <v>151117.63</v>
      </c>
      <c r="R129" s="171">
        <v>150337.06</v>
      </c>
      <c r="S129" s="168">
        <f t="shared" si="19"/>
        <v>99.4834686065418</v>
      </c>
    </row>
    <row r="130" spans="1:19" ht="12.75">
      <c r="A130" s="13" t="s">
        <v>65</v>
      </c>
      <c r="B130" s="55"/>
      <c r="C130" s="75">
        <v>50501.5</v>
      </c>
      <c r="D130" s="73"/>
      <c r="E130" s="73"/>
      <c r="F130" s="74">
        <f t="shared" si="39"/>
        <v>50501.5</v>
      </c>
      <c r="G130" s="75">
        <v>77.47</v>
      </c>
      <c r="H130" s="73"/>
      <c r="I130" s="74">
        <f aca="true" t="shared" si="40" ref="I130:I148">F130+G130+H130</f>
        <v>50578.97</v>
      </c>
      <c r="J130" s="75">
        <f>528.3+83.81</f>
        <v>612.1099999999999</v>
      </c>
      <c r="K130" s="73"/>
      <c r="L130" s="136">
        <f aca="true" t="shared" si="41" ref="L130:L148">I130+J130+K130</f>
        <v>51191.08</v>
      </c>
      <c r="M130" s="75">
        <f>89.51+5.14+360</f>
        <v>454.65</v>
      </c>
      <c r="N130" s="73"/>
      <c r="O130" s="74">
        <f aca="true" t="shared" si="42" ref="O130:O148">L130+M130+N130</f>
        <v>51645.73</v>
      </c>
      <c r="P130" s="187"/>
      <c r="Q130" s="171">
        <f t="shared" si="27"/>
        <v>51645.73</v>
      </c>
      <c r="R130" s="171">
        <v>51479.38</v>
      </c>
      <c r="S130" s="168">
        <f t="shared" si="19"/>
        <v>99.67790173553553</v>
      </c>
    </row>
    <row r="131" spans="1:19" ht="12.75">
      <c r="A131" s="13" t="s">
        <v>73</v>
      </c>
      <c r="B131" s="55"/>
      <c r="C131" s="75">
        <v>200</v>
      </c>
      <c r="D131" s="73"/>
      <c r="E131" s="73"/>
      <c r="F131" s="74">
        <f t="shared" si="39"/>
        <v>200</v>
      </c>
      <c r="G131" s="75"/>
      <c r="H131" s="73"/>
      <c r="I131" s="74">
        <f t="shared" si="40"/>
        <v>200</v>
      </c>
      <c r="J131" s="75"/>
      <c r="K131" s="73"/>
      <c r="L131" s="136">
        <f t="shared" si="41"/>
        <v>200</v>
      </c>
      <c r="M131" s="75"/>
      <c r="N131" s="73"/>
      <c r="O131" s="74">
        <f t="shared" si="42"/>
        <v>200</v>
      </c>
      <c r="P131" s="187"/>
      <c r="Q131" s="171">
        <f t="shared" si="27"/>
        <v>200</v>
      </c>
      <c r="R131" s="171">
        <v>161.5</v>
      </c>
      <c r="S131" s="168">
        <f t="shared" si="19"/>
        <v>80.75</v>
      </c>
    </row>
    <row r="132" spans="1:19" ht="12.75">
      <c r="A132" s="13" t="s">
        <v>67</v>
      </c>
      <c r="B132" s="55"/>
      <c r="C132" s="75">
        <v>40726</v>
      </c>
      <c r="D132" s="73">
        <f>480</f>
        <v>480</v>
      </c>
      <c r="E132" s="73"/>
      <c r="F132" s="74">
        <f t="shared" si="39"/>
        <v>41206</v>
      </c>
      <c r="G132" s="75">
        <f>1382.8+7.53</f>
        <v>1390.33</v>
      </c>
      <c r="H132" s="73"/>
      <c r="I132" s="74">
        <f t="shared" si="40"/>
        <v>42596.33</v>
      </c>
      <c r="J132" s="75">
        <f>36.4+4.2</f>
        <v>40.6</v>
      </c>
      <c r="K132" s="73"/>
      <c r="L132" s="136">
        <f t="shared" si="41"/>
        <v>42636.93</v>
      </c>
      <c r="M132" s="75">
        <f>9.1-500</f>
        <v>-490.9</v>
      </c>
      <c r="N132" s="73"/>
      <c r="O132" s="74">
        <f t="shared" si="42"/>
        <v>42146.03</v>
      </c>
      <c r="P132" s="187"/>
      <c r="Q132" s="171">
        <f t="shared" si="27"/>
        <v>42146.03</v>
      </c>
      <c r="R132" s="171">
        <v>34459.38</v>
      </c>
      <c r="S132" s="168">
        <f t="shared" si="19"/>
        <v>81.76186464063163</v>
      </c>
    </row>
    <row r="133" spans="1:19" ht="12.75">
      <c r="A133" s="13" t="s">
        <v>74</v>
      </c>
      <c r="B133" s="55" t="s">
        <v>247</v>
      </c>
      <c r="C133" s="75">
        <v>152</v>
      </c>
      <c r="D133" s="73"/>
      <c r="E133" s="73"/>
      <c r="F133" s="74">
        <f t="shared" si="39"/>
        <v>152</v>
      </c>
      <c r="G133" s="75"/>
      <c r="H133" s="73"/>
      <c r="I133" s="74">
        <f t="shared" si="40"/>
        <v>152</v>
      </c>
      <c r="J133" s="75"/>
      <c r="K133" s="73"/>
      <c r="L133" s="136">
        <f t="shared" si="41"/>
        <v>152</v>
      </c>
      <c r="M133" s="75"/>
      <c r="N133" s="73"/>
      <c r="O133" s="74">
        <f t="shared" si="42"/>
        <v>152</v>
      </c>
      <c r="P133" s="187"/>
      <c r="Q133" s="171">
        <f t="shared" si="27"/>
        <v>152</v>
      </c>
      <c r="R133" s="171">
        <v>116</v>
      </c>
      <c r="S133" s="168">
        <f t="shared" si="19"/>
        <v>76.31578947368422</v>
      </c>
    </row>
    <row r="134" spans="1:19" ht="12.75" hidden="1">
      <c r="A134" s="13" t="s">
        <v>75</v>
      </c>
      <c r="B134" s="55" t="s">
        <v>246</v>
      </c>
      <c r="C134" s="75"/>
      <c r="D134" s="73"/>
      <c r="E134" s="73"/>
      <c r="F134" s="74">
        <f t="shared" si="39"/>
        <v>0</v>
      </c>
      <c r="G134" s="75"/>
      <c r="H134" s="73"/>
      <c r="I134" s="74">
        <f t="shared" si="40"/>
        <v>0</v>
      </c>
      <c r="J134" s="75"/>
      <c r="K134" s="73"/>
      <c r="L134" s="136">
        <f t="shared" si="41"/>
        <v>0</v>
      </c>
      <c r="M134" s="75"/>
      <c r="N134" s="73"/>
      <c r="O134" s="74">
        <f t="shared" si="42"/>
        <v>0</v>
      </c>
      <c r="P134" s="187"/>
      <c r="Q134" s="171">
        <f t="shared" si="27"/>
        <v>0</v>
      </c>
      <c r="R134" s="171"/>
      <c r="S134" s="168" t="e">
        <f t="shared" si="19"/>
        <v>#DIV/0!</v>
      </c>
    </row>
    <row r="135" spans="1:19" ht="12.75">
      <c r="A135" s="13" t="s">
        <v>76</v>
      </c>
      <c r="B135" s="55"/>
      <c r="C135" s="75">
        <v>58897</v>
      </c>
      <c r="D135" s="73"/>
      <c r="E135" s="73"/>
      <c r="F135" s="74">
        <f t="shared" si="39"/>
        <v>58897</v>
      </c>
      <c r="G135" s="75"/>
      <c r="H135" s="73"/>
      <c r="I135" s="74">
        <f t="shared" si="40"/>
        <v>58897</v>
      </c>
      <c r="J135" s="75"/>
      <c r="K135" s="73"/>
      <c r="L135" s="136">
        <f t="shared" si="41"/>
        <v>58897</v>
      </c>
      <c r="M135" s="75"/>
      <c r="N135" s="73"/>
      <c r="O135" s="74">
        <f t="shared" si="42"/>
        <v>58897</v>
      </c>
      <c r="P135" s="187"/>
      <c r="Q135" s="171">
        <f t="shared" si="27"/>
        <v>58897</v>
      </c>
      <c r="R135" s="171">
        <v>58458.56</v>
      </c>
      <c r="S135" s="168">
        <f t="shared" si="19"/>
        <v>99.25558177835883</v>
      </c>
    </row>
    <row r="136" spans="1:19" ht="12.75">
      <c r="A136" s="13" t="s">
        <v>98</v>
      </c>
      <c r="B136" s="55"/>
      <c r="C136" s="75"/>
      <c r="D136" s="73">
        <f>8.11+653.45</f>
        <v>661.5600000000001</v>
      </c>
      <c r="E136" s="73"/>
      <c r="F136" s="74">
        <f t="shared" si="39"/>
        <v>661.5600000000001</v>
      </c>
      <c r="G136" s="75">
        <f>6.62+6.63+2548.45</f>
        <v>2561.7</v>
      </c>
      <c r="H136" s="73"/>
      <c r="I136" s="74">
        <f t="shared" si="40"/>
        <v>3223.2599999999998</v>
      </c>
      <c r="J136" s="75">
        <f>6.62</f>
        <v>6.62</v>
      </c>
      <c r="K136" s="73"/>
      <c r="L136" s="136">
        <f t="shared" si="41"/>
        <v>3229.8799999999997</v>
      </c>
      <c r="M136" s="75">
        <f>1136.03+250</f>
        <v>1386.03</v>
      </c>
      <c r="N136" s="73"/>
      <c r="O136" s="74">
        <f t="shared" si="42"/>
        <v>4615.91</v>
      </c>
      <c r="P136" s="187"/>
      <c r="Q136" s="171">
        <f t="shared" si="27"/>
        <v>4615.91</v>
      </c>
      <c r="R136" s="171">
        <v>4033.13</v>
      </c>
      <c r="S136" s="168">
        <f t="shared" si="19"/>
        <v>87.37453719851558</v>
      </c>
    </row>
    <row r="137" spans="1:19" ht="12.75" hidden="1">
      <c r="A137" s="13" t="s">
        <v>310</v>
      </c>
      <c r="B137" s="55">
        <v>2600</v>
      </c>
      <c r="C137" s="75"/>
      <c r="D137" s="73"/>
      <c r="E137" s="73"/>
      <c r="F137" s="74">
        <f t="shared" si="39"/>
        <v>0</v>
      </c>
      <c r="G137" s="75"/>
      <c r="H137" s="73"/>
      <c r="I137" s="74">
        <f t="shared" si="40"/>
        <v>0</v>
      </c>
      <c r="J137" s="75"/>
      <c r="K137" s="73"/>
      <c r="L137" s="136">
        <f t="shared" si="41"/>
        <v>0</v>
      </c>
      <c r="M137" s="75"/>
      <c r="N137" s="73"/>
      <c r="O137" s="74">
        <f t="shared" si="42"/>
        <v>0</v>
      </c>
      <c r="P137" s="187"/>
      <c r="Q137" s="171">
        <f t="shared" si="27"/>
        <v>0</v>
      </c>
      <c r="R137" s="171"/>
      <c r="S137" s="168" t="e">
        <f t="shared" si="19"/>
        <v>#DIV/0!</v>
      </c>
    </row>
    <row r="138" spans="1:19" ht="12.75" hidden="1">
      <c r="A138" s="13" t="s">
        <v>183</v>
      </c>
      <c r="B138" s="55"/>
      <c r="C138" s="75"/>
      <c r="D138" s="73"/>
      <c r="E138" s="73"/>
      <c r="F138" s="74">
        <f t="shared" si="39"/>
        <v>0</v>
      </c>
      <c r="G138" s="75"/>
      <c r="H138" s="73"/>
      <c r="I138" s="74">
        <f t="shared" si="40"/>
        <v>0</v>
      </c>
      <c r="J138" s="75"/>
      <c r="K138" s="73"/>
      <c r="L138" s="136">
        <f t="shared" si="41"/>
        <v>0</v>
      </c>
      <c r="M138" s="75"/>
      <c r="N138" s="73"/>
      <c r="O138" s="74">
        <f t="shared" si="42"/>
        <v>0</v>
      </c>
      <c r="P138" s="187"/>
      <c r="Q138" s="171">
        <f t="shared" si="27"/>
        <v>0</v>
      </c>
      <c r="R138" s="171"/>
      <c r="S138" s="168" t="e">
        <f t="shared" si="19"/>
        <v>#DIV/0!</v>
      </c>
    </row>
    <row r="139" spans="1:19" ht="12.75" hidden="1">
      <c r="A139" s="13" t="s">
        <v>311</v>
      </c>
      <c r="B139" s="55">
        <v>1800</v>
      </c>
      <c r="C139" s="75"/>
      <c r="D139" s="73"/>
      <c r="E139" s="73"/>
      <c r="F139" s="74">
        <f t="shared" si="39"/>
        <v>0</v>
      </c>
      <c r="G139" s="75"/>
      <c r="H139" s="73"/>
      <c r="I139" s="74">
        <f t="shared" si="40"/>
        <v>0</v>
      </c>
      <c r="J139" s="75"/>
      <c r="K139" s="73"/>
      <c r="L139" s="136">
        <f t="shared" si="41"/>
        <v>0</v>
      </c>
      <c r="M139" s="75"/>
      <c r="N139" s="73"/>
      <c r="O139" s="74">
        <f t="shared" si="42"/>
        <v>0</v>
      </c>
      <c r="P139" s="187"/>
      <c r="Q139" s="171">
        <f t="shared" si="27"/>
        <v>0</v>
      </c>
      <c r="R139" s="171"/>
      <c r="S139" s="168" t="e">
        <f t="shared" si="19"/>
        <v>#DIV/0!</v>
      </c>
    </row>
    <row r="140" spans="1:19" ht="12.75" hidden="1">
      <c r="A140" s="56" t="s">
        <v>207</v>
      </c>
      <c r="B140" s="55"/>
      <c r="C140" s="75"/>
      <c r="D140" s="73"/>
      <c r="E140" s="73"/>
      <c r="F140" s="74">
        <f t="shared" si="39"/>
        <v>0</v>
      </c>
      <c r="G140" s="75"/>
      <c r="H140" s="73"/>
      <c r="I140" s="74">
        <f t="shared" si="40"/>
        <v>0</v>
      </c>
      <c r="J140" s="75"/>
      <c r="K140" s="73"/>
      <c r="L140" s="136">
        <f t="shared" si="41"/>
        <v>0</v>
      </c>
      <c r="M140" s="75"/>
      <c r="N140" s="73"/>
      <c r="O140" s="74">
        <f t="shared" si="42"/>
        <v>0</v>
      </c>
      <c r="P140" s="187"/>
      <c r="Q140" s="171">
        <f t="shared" si="27"/>
        <v>0</v>
      </c>
      <c r="R140" s="171"/>
      <c r="S140" s="168" t="e">
        <f aca="true" t="shared" si="43" ref="S140:S202">R140/Q140*100</f>
        <v>#DIV/0!</v>
      </c>
    </row>
    <row r="141" spans="1:19" ht="12.75">
      <c r="A141" s="13" t="s">
        <v>251</v>
      </c>
      <c r="B141" s="55">
        <v>3200</v>
      </c>
      <c r="C141" s="75"/>
      <c r="D141" s="73">
        <f>172.19</f>
        <v>172.19</v>
      </c>
      <c r="E141" s="73"/>
      <c r="F141" s="74">
        <f t="shared" si="39"/>
        <v>172.19</v>
      </c>
      <c r="G141" s="75"/>
      <c r="H141" s="73"/>
      <c r="I141" s="74">
        <f t="shared" si="40"/>
        <v>172.19</v>
      </c>
      <c r="J141" s="75"/>
      <c r="K141" s="73"/>
      <c r="L141" s="136">
        <f t="shared" si="41"/>
        <v>172.19</v>
      </c>
      <c r="M141" s="75"/>
      <c r="N141" s="73"/>
      <c r="O141" s="74">
        <f t="shared" si="42"/>
        <v>172.19</v>
      </c>
      <c r="P141" s="187"/>
      <c r="Q141" s="171">
        <f t="shared" si="27"/>
        <v>172.19</v>
      </c>
      <c r="R141" s="171">
        <v>171.03</v>
      </c>
      <c r="S141" s="168">
        <f t="shared" si="43"/>
        <v>99.32632557059063</v>
      </c>
    </row>
    <row r="142" spans="1:19" ht="12.75" hidden="1">
      <c r="A142" s="13" t="s">
        <v>251</v>
      </c>
      <c r="B142" s="55"/>
      <c r="C142" s="75"/>
      <c r="D142" s="73"/>
      <c r="E142" s="73"/>
      <c r="F142" s="74">
        <f t="shared" si="39"/>
        <v>0</v>
      </c>
      <c r="G142" s="75"/>
      <c r="H142" s="73"/>
      <c r="I142" s="74">
        <f t="shared" si="40"/>
        <v>0</v>
      </c>
      <c r="J142" s="75"/>
      <c r="K142" s="73"/>
      <c r="L142" s="136">
        <f t="shared" si="41"/>
        <v>0</v>
      </c>
      <c r="M142" s="75"/>
      <c r="N142" s="73"/>
      <c r="O142" s="74">
        <f t="shared" si="42"/>
        <v>0</v>
      </c>
      <c r="P142" s="187"/>
      <c r="Q142" s="171">
        <f t="shared" si="27"/>
        <v>0</v>
      </c>
      <c r="R142" s="171"/>
      <c r="S142" s="168" t="e">
        <f t="shared" si="43"/>
        <v>#DIV/0!</v>
      </c>
    </row>
    <row r="143" spans="1:19" ht="12.75">
      <c r="A143" s="13" t="s">
        <v>307</v>
      </c>
      <c r="B143" s="55">
        <v>13234</v>
      </c>
      <c r="C143" s="75"/>
      <c r="D143" s="73">
        <v>20.1</v>
      </c>
      <c r="E143" s="73"/>
      <c r="F143" s="74">
        <f t="shared" si="39"/>
        <v>20.1</v>
      </c>
      <c r="G143" s="75"/>
      <c r="H143" s="73"/>
      <c r="I143" s="74">
        <f t="shared" si="40"/>
        <v>20.1</v>
      </c>
      <c r="J143" s="75"/>
      <c r="K143" s="73"/>
      <c r="L143" s="136">
        <f t="shared" si="41"/>
        <v>20.1</v>
      </c>
      <c r="M143" s="75"/>
      <c r="N143" s="73"/>
      <c r="O143" s="74">
        <f t="shared" si="42"/>
        <v>20.1</v>
      </c>
      <c r="P143" s="187"/>
      <c r="Q143" s="171">
        <f t="shared" si="27"/>
        <v>20.1</v>
      </c>
      <c r="R143" s="171">
        <v>20.1</v>
      </c>
      <c r="S143" s="168">
        <f t="shared" si="43"/>
        <v>100</v>
      </c>
    </row>
    <row r="144" spans="1:19" ht="12.75" hidden="1">
      <c r="A144" s="13" t="s">
        <v>77</v>
      </c>
      <c r="B144" s="55"/>
      <c r="C144" s="75"/>
      <c r="D144" s="73"/>
      <c r="E144" s="73"/>
      <c r="F144" s="74">
        <f t="shared" si="39"/>
        <v>0</v>
      </c>
      <c r="G144" s="75"/>
      <c r="H144" s="73"/>
      <c r="I144" s="74">
        <f t="shared" si="40"/>
        <v>0</v>
      </c>
      <c r="J144" s="75"/>
      <c r="K144" s="73"/>
      <c r="L144" s="136">
        <f t="shared" si="41"/>
        <v>0</v>
      </c>
      <c r="M144" s="75"/>
      <c r="N144" s="73"/>
      <c r="O144" s="74">
        <f t="shared" si="42"/>
        <v>0</v>
      </c>
      <c r="P144" s="187"/>
      <c r="Q144" s="171">
        <f t="shared" si="27"/>
        <v>0</v>
      </c>
      <c r="R144" s="171"/>
      <c r="S144" s="168" t="e">
        <f t="shared" si="43"/>
        <v>#DIV/0!</v>
      </c>
    </row>
    <row r="145" spans="1:19" ht="12.75">
      <c r="A145" s="13" t="s">
        <v>78</v>
      </c>
      <c r="B145" s="55">
        <v>98074</v>
      </c>
      <c r="C145" s="75"/>
      <c r="D145" s="73">
        <v>15</v>
      </c>
      <c r="E145" s="73"/>
      <c r="F145" s="74">
        <f t="shared" si="39"/>
        <v>15</v>
      </c>
      <c r="G145" s="75">
        <v>15</v>
      </c>
      <c r="H145" s="73"/>
      <c r="I145" s="74">
        <f t="shared" si="40"/>
        <v>30</v>
      </c>
      <c r="J145" s="75">
        <f>15</f>
        <v>15</v>
      </c>
      <c r="K145" s="73"/>
      <c r="L145" s="136">
        <f t="shared" si="41"/>
        <v>45</v>
      </c>
      <c r="M145" s="75">
        <f>15</f>
        <v>15</v>
      </c>
      <c r="N145" s="73"/>
      <c r="O145" s="74">
        <f t="shared" si="42"/>
        <v>60</v>
      </c>
      <c r="P145" s="187"/>
      <c r="Q145" s="171">
        <f t="shared" si="27"/>
        <v>60</v>
      </c>
      <c r="R145" s="171">
        <v>27.72</v>
      </c>
      <c r="S145" s="168">
        <f t="shared" si="43"/>
        <v>46.199999999999996</v>
      </c>
    </row>
    <row r="146" spans="1:19" ht="12.75" hidden="1">
      <c r="A146" s="13" t="s">
        <v>79</v>
      </c>
      <c r="B146" s="55"/>
      <c r="C146" s="75"/>
      <c r="D146" s="73"/>
      <c r="E146" s="73"/>
      <c r="F146" s="74">
        <f t="shared" si="39"/>
        <v>0</v>
      </c>
      <c r="G146" s="75"/>
      <c r="H146" s="73"/>
      <c r="I146" s="74">
        <f t="shared" si="40"/>
        <v>0</v>
      </c>
      <c r="J146" s="75"/>
      <c r="K146" s="73"/>
      <c r="L146" s="136">
        <f t="shared" si="41"/>
        <v>0</v>
      </c>
      <c r="M146" s="75"/>
      <c r="N146" s="73"/>
      <c r="O146" s="74">
        <f t="shared" si="42"/>
        <v>0</v>
      </c>
      <c r="P146" s="187"/>
      <c r="Q146" s="171">
        <f t="shared" si="27"/>
        <v>0</v>
      </c>
      <c r="R146" s="171"/>
      <c r="S146" s="168" t="e">
        <f t="shared" si="43"/>
        <v>#DIV/0!</v>
      </c>
    </row>
    <row r="147" spans="1:19" ht="12.75">
      <c r="A147" s="13" t="s">
        <v>355</v>
      </c>
      <c r="B147" s="55"/>
      <c r="C147" s="75"/>
      <c r="D147" s="73"/>
      <c r="E147" s="73"/>
      <c r="F147" s="74"/>
      <c r="G147" s="75"/>
      <c r="H147" s="73"/>
      <c r="I147" s="74"/>
      <c r="J147" s="75"/>
      <c r="K147" s="73">
        <v>1131</v>
      </c>
      <c r="L147" s="136">
        <f t="shared" si="41"/>
        <v>1131</v>
      </c>
      <c r="M147" s="75"/>
      <c r="N147" s="73"/>
      <c r="O147" s="74">
        <f t="shared" si="42"/>
        <v>1131</v>
      </c>
      <c r="P147" s="187"/>
      <c r="Q147" s="171">
        <f t="shared" si="27"/>
        <v>1131</v>
      </c>
      <c r="R147" s="171">
        <v>1131</v>
      </c>
      <c r="S147" s="168">
        <f t="shared" si="43"/>
        <v>100</v>
      </c>
    </row>
    <row r="148" spans="1:19" ht="12.75">
      <c r="A148" s="13" t="s">
        <v>80</v>
      </c>
      <c r="B148" s="55">
        <v>4001</v>
      </c>
      <c r="C148" s="75"/>
      <c r="D148" s="73"/>
      <c r="E148" s="73"/>
      <c r="F148" s="74">
        <f t="shared" si="39"/>
        <v>0</v>
      </c>
      <c r="G148" s="75">
        <f>237</f>
        <v>237</v>
      </c>
      <c r="H148" s="73"/>
      <c r="I148" s="74">
        <f t="shared" si="40"/>
        <v>237</v>
      </c>
      <c r="J148" s="75"/>
      <c r="K148" s="73"/>
      <c r="L148" s="136">
        <f t="shared" si="41"/>
        <v>237</v>
      </c>
      <c r="M148" s="75"/>
      <c r="N148" s="73"/>
      <c r="O148" s="74">
        <f t="shared" si="42"/>
        <v>237</v>
      </c>
      <c r="P148" s="187"/>
      <c r="Q148" s="171">
        <f t="shared" si="27"/>
        <v>237</v>
      </c>
      <c r="R148" s="171">
        <v>237</v>
      </c>
      <c r="S148" s="168">
        <f t="shared" si="43"/>
        <v>100</v>
      </c>
    </row>
    <row r="149" spans="1:19" ht="12.75">
      <c r="A149" s="19" t="s">
        <v>70</v>
      </c>
      <c r="B149" s="59"/>
      <c r="C149" s="80">
        <f aca="true" t="shared" si="44" ref="C149:Q149">C152+C151</f>
        <v>0</v>
      </c>
      <c r="D149" s="81">
        <f t="shared" si="44"/>
        <v>11144.66</v>
      </c>
      <c r="E149" s="81">
        <f t="shared" si="44"/>
        <v>0</v>
      </c>
      <c r="F149" s="82">
        <f t="shared" si="44"/>
        <v>11144.66</v>
      </c>
      <c r="G149" s="80">
        <f t="shared" si="44"/>
        <v>10170.53</v>
      </c>
      <c r="H149" s="81">
        <f t="shared" si="44"/>
        <v>0</v>
      </c>
      <c r="I149" s="82">
        <f t="shared" si="44"/>
        <v>21315.190000000002</v>
      </c>
      <c r="J149" s="80">
        <f t="shared" si="44"/>
        <v>907.5</v>
      </c>
      <c r="K149" s="81">
        <f t="shared" si="44"/>
        <v>0</v>
      </c>
      <c r="L149" s="140">
        <f t="shared" si="44"/>
        <v>22222.690000000002</v>
      </c>
      <c r="M149" s="80">
        <f t="shared" si="44"/>
        <v>21790.18</v>
      </c>
      <c r="N149" s="81">
        <f t="shared" si="44"/>
        <v>0</v>
      </c>
      <c r="O149" s="82">
        <f t="shared" si="44"/>
        <v>44012.87</v>
      </c>
      <c r="P149" s="193">
        <f t="shared" si="44"/>
        <v>0</v>
      </c>
      <c r="Q149" s="176">
        <f t="shared" si="44"/>
        <v>44012.87</v>
      </c>
      <c r="R149" s="176">
        <f>R152+R151</f>
        <v>43428.74</v>
      </c>
      <c r="S149" s="214">
        <f t="shared" si="43"/>
        <v>98.67282001832645</v>
      </c>
    </row>
    <row r="150" spans="1:19" ht="12.75">
      <c r="A150" s="15" t="s">
        <v>35</v>
      </c>
      <c r="B150" s="55"/>
      <c r="C150" s="75"/>
      <c r="D150" s="73"/>
      <c r="E150" s="73"/>
      <c r="F150" s="72"/>
      <c r="G150" s="75"/>
      <c r="H150" s="73"/>
      <c r="I150" s="72"/>
      <c r="J150" s="75"/>
      <c r="K150" s="73"/>
      <c r="L150" s="138"/>
      <c r="M150" s="75"/>
      <c r="N150" s="73"/>
      <c r="O150" s="72"/>
      <c r="P150" s="187"/>
      <c r="Q150" s="171"/>
      <c r="R150" s="171"/>
      <c r="S150" s="168"/>
    </row>
    <row r="151" spans="1:19" ht="12.75">
      <c r="A151" s="12" t="s">
        <v>71</v>
      </c>
      <c r="B151" s="55"/>
      <c r="C151" s="75"/>
      <c r="D151" s="73">
        <f>1120</f>
        <v>1120</v>
      </c>
      <c r="E151" s="73"/>
      <c r="F151" s="74">
        <f>C151+D151+E151</f>
        <v>1120</v>
      </c>
      <c r="G151" s="75"/>
      <c r="H151" s="73"/>
      <c r="I151" s="74">
        <f>F151+G151+H151</f>
        <v>1120</v>
      </c>
      <c r="J151" s="75"/>
      <c r="K151" s="73"/>
      <c r="L151" s="136">
        <f>I151+J151+K151</f>
        <v>1120</v>
      </c>
      <c r="M151" s="75"/>
      <c r="N151" s="73"/>
      <c r="O151" s="74">
        <f>L151+M151+N151</f>
        <v>1120</v>
      </c>
      <c r="P151" s="187"/>
      <c r="Q151" s="171">
        <f t="shared" si="27"/>
        <v>1120</v>
      </c>
      <c r="R151" s="171">
        <v>1102.31</v>
      </c>
      <c r="S151" s="168">
        <f t="shared" si="43"/>
        <v>98.4205357142857</v>
      </c>
    </row>
    <row r="152" spans="1:19" ht="12.75">
      <c r="A152" s="16" t="s">
        <v>99</v>
      </c>
      <c r="B152" s="58"/>
      <c r="C152" s="83"/>
      <c r="D152" s="84">
        <f>2600.4+7424.26</f>
        <v>10024.66</v>
      </c>
      <c r="E152" s="84"/>
      <c r="F152" s="121">
        <f>C152+D152+E152</f>
        <v>10024.66</v>
      </c>
      <c r="G152" s="83">
        <f>10170.53</f>
        <v>10170.53</v>
      </c>
      <c r="H152" s="84"/>
      <c r="I152" s="121">
        <f>F152+G152+H152</f>
        <v>20195.190000000002</v>
      </c>
      <c r="J152" s="83">
        <f>907.5</f>
        <v>907.5</v>
      </c>
      <c r="K152" s="84"/>
      <c r="L152" s="150">
        <f>I152+J152+K152</f>
        <v>21102.690000000002</v>
      </c>
      <c r="M152" s="83">
        <f>18040.18+3750</f>
        <v>21790.18</v>
      </c>
      <c r="N152" s="84"/>
      <c r="O152" s="121">
        <f>L152+M152+N152</f>
        <v>42892.87</v>
      </c>
      <c r="P152" s="195"/>
      <c r="Q152" s="207">
        <f t="shared" si="27"/>
        <v>42892.87</v>
      </c>
      <c r="R152" s="207">
        <v>42326.43</v>
      </c>
      <c r="S152" s="215">
        <f t="shared" si="43"/>
        <v>98.67940755654728</v>
      </c>
    </row>
    <row r="153" spans="1:19" ht="12.75">
      <c r="A153" s="10" t="s">
        <v>81</v>
      </c>
      <c r="B153" s="59"/>
      <c r="C153" s="70">
        <f aca="true" t="shared" si="45" ref="C153:O153">C154+C163</f>
        <v>63545.7</v>
      </c>
      <c r="D153" s="71">
        <f t="shared" si="45"/>
        <v>17934.35</v>
      </c>
      <c r="E153" s="71">
        <f t="shared" si="45"/>
        <v>0</v>
      </c>
      <c r="F153" s="72">
        <f t="shared" si="45"/>
        <v>81480.04999999999</v>
      </c>
      <c r="G153" s="70">
        <f t="shared" si="45"/>
        <v>3122.34</v>
      </c>
      <c r="H153" s="71">
        <f t="shared" si="45"/>
        <v>21194</v>
      </c>
      <c r="I153" s="72">
        <f t="shared" si="45"/>
        <v>105796.38999999998</v>
      </c>
      <c r="J153" s="70">
        <f t="shared" si="45"/>
        <v>12000</v>
      </c>
      <c r="K153" s="71">
        <f t="shared" si="45"/>
        <v>0</v>
      </c>
      <c r="L153" s="138">
        <f t="shared" si="45"/>
        <v>117796.39</v>
      </c>
      <c r="M153" s="70">
        <f t="shared" si="45"/>
        <v>10406.259999999998</v>
      </c>
      <c r="N153" s="71">
        <f t="shared" si="45"/>
        <v>0</v>
      </c>
      <c r="O153" s="72">
        <f t="shared" si="45"/>
        <v>128202.65</v>
      </c>
      <c r="P153" s="188">
        <f>P154+P163</f>
        <v>791.4200000000001</v>
      </c>
      <c r="Q153" s="172">
        <f>Q154+Q163</f>
        <v>128994.07</v>
      </c>
      <c r="R153" s="172">
        <f>R154+R163</f>
        <v>93472.04000000001</v>
      </c>
      <c r="S153" s="165">
        <f t="shared" si="43"/>
        <v>72.46227675427251</v>
      </c>
    </row>
    <row r="154" spans="1:19" ht="12.75">
      <c r="A154" s="19" t="s">
        <v>64</v>
      </c>
      <c r="B154" s="59"/>
      <c r="C154" s="80">
        <f aca="true" t="shared" si="46" ref="C154:O154">SUM(C156:C161)</f>
        <v>18545.7</v>
      </c>
      <c r="D154" s="81">
        <f t="shared" si="46"/>
        <v>3327.58</v>
      </c>
      <c r="E154" s="81">
        <f t="shared" si="46"/>
        <v>0</v>
      </c>
      <c r="F154" s="82">
        <f t="shared" si="46"/>
        <v>21873.28</v>
      </c>
      <c r="G154" s="80">
        <f t="shared" si="46"/>
        <v>122.34</v>
      </c>
      <c r="H154" s="81">
        <f t="shared" si="46"/>
        <v>-478</v>
      </c>
      <c r="I154" s="82">
        <f t="shared" si="46"/>
        <v>21517.62</v>
      </c>
      <c r="J154" s="80">
        <f t="shared" si="46"/>
        <v>3000</v>
      </c>
      <c r="K154" s="81">
        <f t="shared" si="46"/>
        <v>222.65</v>
      </c>
      <c r="L154" s="140">
        <f t="shared" si="46"/>
        <v>24740.27</v>
      </c>
      <c r="M154" s="80">
        <f t="shared" si="46"/>
        <v>-548.29</v>
      </c>
      <c r="N154" s="81">
        <f t="shared" si="46"/>
        <v>0</v>
      </c>
      <c r="O154" s="82">
        <f t="shared" si="46"/>
        <v>24191.980000000003</v>
      </c>
      <c r="P154" s="193">
        <f>SUM(P156:P161)</f>
        <v>791.4200000000001</v>
      </c>
      <c r="Q154" s="176">
        <f>SUM(Q156:Q161)</f>
        <v>24983.4</v>
      </c>
      <c r="R154" s="176">
        <f>SUM(R156:R161)</f>
        <v>23393.25</v>
      </c>
      <c r="S154" s="216">
        <f t="shared" si="43"/>
        <v>93.63517375537356</v>
      </c>
    </row>
    <row r="155" spans="1:19" ht="12.75">
      <c r="A155" s="15" t="s">
        <v>35</v>
      </c>
      <c r="B155" s="55"/>
      <c r="C155" s="75"/>
      <c r="D155" s="73"/>
      <c r="E155" s="73"/>
      <c r="F155" s="72"/>
      <c r="G155" s="75"/>
      <c r="H155" s="73"/>
      <c r="I155" s="72"/>
      <c r="J155" s="75"/>
      <c r="K155" s="73"/>
      <c r="L155" s="138"/>
      <c r="M155" s="75"/>
      <c r="N155" s="73"/>
      <c r="O155" s="72"/>
      <c r="P155" s="187"/>
      <c r="Q155" s="171"/>
      <c r="R155" s="171"/>
      <c r="S155" s="168"/>
    </row>
    <row r="156" spans="1:19" ht="12.75">
      <c r="A156" s="13" t="s">
        <v>67</v>
      </c>
      <c r="B156" s="55"/>
      <c r="C156" s="75">
        <v>18545.7</v>
      </c>
      <c r="D156" s="73">
        <f>450</f>
        <v>450</v>
      </c>
      <c r="E156" s="73"/>
      <c r="F156" s="74">
        <f aca="true" t="shared" si="47" ref="F156:F162">C156+D156+E156</f>
        <v>18995.7</v>
      </c>
      <c r="G156" s="75">
        <f>-226.84</f>
        <v>-226.84</v>
      </c>
      <c r="H156" s="73">
        <f>-910</f>
        <v>-910</v>
      </c>
      <c r="I156" s="74">
        <f aca="true" t="shared" si="48" ref="I156:I162">F156+G156+H156</f>
        <v>17858.86</v>
      </c>
      <c r="J156" s="75">
        <f>3000</f>
        <v>3000</v>
      </c>
      <c r="K156" s="73"/>
      <c r="L156" s="136">
        <f aca="true" t="shared" si="49" ref="L156:L162">I156+J156+K156</f>
        <v>20858.86</v>
      </c>
      <c r="M156" s="75">
        <f>212.03-2338.77</f>
        <v>-2126.74</v>
      </c>
      <c r="N156" s="73"/>
      <c r="O156" s="74">
        <f aca="true" t="shared" si="50" ref="O156:O162">L156+M156+N156</f>
        <v>18732.120000000003</v>
      </c>
      <c r="P156" s="187">
        <f>-300</f>
        <v>-300</v>
      </c>
      <c r="Q156" s="171">
        <f t="shared" si="27"/>
        <v>18432.120000000003</v>
      </c>
      <c r="R156" s="171">
        <v>16987.41</v>
      </c>
      <c r="S156" s="168">
        <f t="shared" si="43"/>
        <v>92.1619976432445</v>
      </c>
    </row>
    <row r="157" spans="1:19" ht="12.75">
      <c r="A157" s="13" t="s">
        <v>83</v>
      </c>
      <c r="B157" s="55"/>
      <c r="C157" s="75"/>
      <c r="D157" s="73"/>
      <c r="E157" s="73"/>
      <c r="F157" s="74">
        <f t="shared" si="47"/>
        <v>0</v>
      </c>
      <c r="G157" s="75">
        <f>226.84</f>
        <v>226.84</v>
      </c>
      <c r="H157" s="73">
        <f>432</f>
        <v>432</v>
      </c>
      <c r="I157" s="74">
        <f t="shared" si="48"/>
        <v>658.84</v>
      </c>
      <c r="J157" s="75"/>
      <c r="K157" s="73"/>
      <c r="L157" s="136">
        <f t="shared" si="49"/>
        <v>658.84</v>
      </c>
      <c r="M157" s="75">
        <f>2338.77</f>
        <v>2338.77</v>
      </c>
      <c r="N157" s="73"/>
      <c r="O157" s="74">
        <f t="shared" si="50"/>
        <v>2997.61</v>
      </c>
      <c r="P157" s="187"/>
      <c r="Q157" s="171">
        <f t="shared" si="27"/>
        <v>2997.61</v>
      </c>
      <c r="R157" s="171">
        <v>2852.18</v>
      </c>
      <c r="S157" s="168">
        <f t="shared" si="43"/>
        <v>95.1484682797295</v>
      </c>
    </row>
    <row r="158" spans="1:19" ht="12.75">
      <c r="A158" s="13" t="s">
        <v>84</v>
      </c>
      <c r="B158" s="55">
        <v>98278</v>
      </c>
      <c r="C158" s="75"/>
      <c r="D158" s="73">
        <f>19.35</f>
        <v>19.35</v>
      </c>
      <c r="E158" s="73"/>
      <c r="F158" s="74">
        <f t="shared" si="47"/>
        <v>19.35</v>
      </c>
      <c r="G158" s="75">
        <f>12.83</f>
        <v>12.83</v>
      </c>
      <c r="H158" s="73"/>
      <c r="I158" s="74">
        <f t="shared" si="48"/>
        <v>32.18</v>
      </c>
      <c r="J158" s="75"/>
      <c r="K158" s="73"/>
      <c r="L158" s="136">
        <f t="shared" si="49"/>
        <v>32.18</v>
      </c>
      <c r="M158" s="75">
        <f>14.23</f>
        <v>14.23</v>
      </c>
      <c r="N158" s="73"/>
      <c r="O158" s="74">
        <f t="shared" si="50"/>
        <v>46.41</v>
      </c>
      <c r="P158" s="187"/>
      <c r="Q158" s="171">
        <f t="shared" si="27"/>
        <v>46.41</v>
      </c>
      <c r="R158" s="171">
        <v>46.41</v>
      </c>
      <c r="S158" s="168">
        <f t="shared" si="43"/>
        <v>100</v>
      </c>
    </row>
    <row r="159" spans="1:19" ht="12.75">
      <c r="A159" s="13" t="s">
        <v>365</v>
      </c>
      <c r="B159" s="55">
        <v>15340</v>
      </c>
      <c r="C159" s="75"/>
      <c r="D159" s="73"/>
      <c r="E159" s="73"/>
      <c r="F159" s="74"/>
      <c r="G159" s="75"/>
      <c r="H159" s="73"/>
      <c r="I159" s="74"/>
      <c r="J159" s="75"/>
      <c r="K159" s="73"/>
      <c r="L159" s="136">
        <f t="shared" si="49"/>
        <v>0</v>
      </c>
      <c r="M159" s="75">
        <v>180</v>
      </c>
      <c r="N159" s="73"/>
      <c r="O159" s="74">
        <f t="shared" si="50"/>
        <v>180</v>
      </c>
      <c r="P159" s="187"/>
      <c r="Q159" s="171">
        <f t="shared" si="27"/>
        <v>180</v>
      </c>
      <c r="R159" s="171">
        <v>180</v>
      </c>
      <c r="S159" s="168">
        <f t="shared" si="43"/>
        <v>100</v>
      </c>
    </row>
    <row r="160" spans="1:19" ht="12.75">
      <c r="A160" s="13" t="s">
        <v>98</v>
      </c>
      <c r="B160" s="55"/>
      <c r="C160" s="75"/>
      <c r="D160" s="73"/>
      <c r="E160" s="73"/>
      <c r="F160" s="74">
        <f t="shared" si="47"/>
        <v>0</v>
      </c>
      <c r="G160" s="75">
        <v>109.51</v>
      </c>
      <c r="H160" s="73"/>
      <c r="I160" s="74">
        <f t="shared" si="48"/>
        <v>109.51</v>
      </c>
      <c r="J160" s="75"/>
      <c r="K160" s="73"/>
      <c r="L160" s="136">
        <f t="shared" si="49"/>
        <v>109.51</v>
      </c>
      <c r="M160" s="75"/>
      <c r="N160" s="73"/>
      <c r="O160" s="74">
        <f t="shared" si="50"/>
        <v>109.51</v>
      </c>
      <c r="P160" s="187">
        <f>1091.42</f>
        <v>1091.42</v>
      </c>
      <c r="Q160" s="171">
        <f aca="true" t="shared" si="51" ref="Q160:Q170">O160+P160</f>
        <v>1200.93</v>
      </c>
      <c r="R160" s="171">
        <v>1200.93</v>
      </c>
      <c r="S160" s="168">
        <f t="shared" si="43"/>
        <v>100</v>
      </c>
    </row>
    <row r="161" spans="1:19" ht="12.75">
      <c r="A161" s="12" t="s">
        <v>85</v>
      </c>
      <c r="B161" s="55"/>
      <c r="C161" s="75"/>
      <c r="D161" s="73">
        <f>213.56+2644.67</f>
        <v>2858.23</v>
      </c>
      <c r="E161" s="73"/>
      <c r="F161" s="74">
        <f t="shared" si="47"/>
        <v>2858.23</v>
      </c>
      <c r="G161" s="75"/>
      <c r="H161" s="73"/>
      <c r="I161" s="74">
        <f t="shared" si="48"/>
        <v>2858.23</v>
      </c>
      <c r="J161" s="75"/>
      <c r="K161" s="73">
        <v>222.65</v>
      </c>
      <c r="L161" s="136">
        <f t="shared" si="49"/>
        <v>3080.88</v>
      </c>
      <c r="M161" s="75">
        <f>1690.12-2644.67</f>
        <v>-954.5500000000002</v>
      </c>
      <c r="N161" s="73"/>
      <c r="O161" s="74">
        <f t="shared" si="50"/>
        <v>2126.33</v>
      </c>
      <c r="P161" s="187"/>
      <c r="Q161" s="171">
        <f t="shared" si="51"/>
        <v>2126.33</v>
      </c>
      <c r="R161" s="171">
        <v>2126.32</v>
      </c>
      <c r="S161" s="168">
        <f t="shared" si="43"/>
        <v>99.99952970611336</v>
      </c>
    </row>
    <row r="162" spans="1:19" ht="12.75">
      <c r="A162" s="12" t="s">
        <v>86</v>
      </c>
      <c r="B162" s="55"/>
      <c r="C162" s="75"/>
      <c r="D162" s="73">
        <f>213.56+2644.67</f>
        <v>2858.23</v>
      </c>
      <c r="E162" s="73"/>
      <c r="F162" s="74">
        <f t="shared" si="47"/>
        <v>2858.23</v>
      </c>
      <c r="G162" s="75"/>
      <c r="H162" s="73"/>
      <c r="I162" s="74">
        <f t="shared" si="48"/>
        <v>2858.23</v>
      </c>
      <c r="J162" s="75"/>
      <c r="K162" s="73">
        <v>222.65</v>
      </c>
      <c r="L162" s="136">
        <f t="shared" si="49"/>
        <v>3080.88</v>
      </c>
      <c r="M162" s="75">
        <f>1690.12-2644.67</f>
        <v>-954.5500000000002</v>
      </c>
      <c r="N162" s="73"/>
      <c r="O162" s="74">
        <f t="shared" si="50"/>
        <v>2126.33</v>
      </c>
      <c r="P162" s="187"/>
      <c r="Q162" s="171">
        <f t="shared" si="51"/>
        <v>2126.33</v>
      </c>
      <c r="R162" s="171">
        <v>2126.32</v>
      </c>
      <c r="S162" s="168">
        <f t="shared" si="43"/>
        <v>99.99952970611336</v>
      </c>
    </row>
    <row r="163" spans="1:19" ht="12.75">
      <c r="A163" s="20" t="s">
        <v>70</v>
      </c>
      <c r="B163" s="59"/>
      <c r="C163" s="85">
        <f aca="true" t="shared" si="52" ref="C163:Q163">SUM(C165:C169)</f>
        <v>45000</v>
      </c>
      <c r="D163" s="86">
        <f t="shared" si="52"/>
        <v>14606.77</v>
      </c>
      <c r="E163" s="86">
        <f t="shared" si="52"/>
        <v>0</v>
      </c>
      <c r="F163" s="87">
        <f t="shared" si="52"/>
        <v>59606.77</v>
      </c>
      <c r="G163" s="85">
        <f t="shared" si="52"/>
        <v>3000</v>
      </c>
      <c r="H163" s="86">
        <f t="shared" si="52"/>
        <v>21672</v>
      </c>
      <c r="I163" s="87">
        <f t="shared" si="52"/>
        <v>84278.76999999999</v>
      </c>
      <c r="J163" s="85">
        <f t="shared" si="52"/>
        <v>9000</v>
      </c>
      <c r="K163" s="86">
        <f t="shared" si="52"/>
        <v>-222.65</v>
      </c>
      <c r="L163" s="141">
        <f t="shared" si="52"/>
        <v>93056.12</v>
      </c>
      <c r="M163" s="85">
        <f t="shared" si="52"/>
        <v>10954.55</v>
      </c>
      <c r="N163" s="86">
        <f t="shared" si="52"/>
        <v>0</v>
      </c>
      <c r="O163" s="87">
        <f t="shared" si="52"/>
        <v>104010.67</v>
      </c>
      <c r="P163" s="194">
        <f t="shared" si="52"/>
        <v>0</v>
      </c>
      <c r="Q163" s="177">
        <f t="shared" si="52"/>
        <v>104010.67</v>
      </c>
      <c r="R163" s="177">
        <f>SUM(R165:R169)</f>
        <v>70078.79000000001</v>
      </c>
      <c r="S163" s="214">
        <f t="shared" si="43"/>
        <v>67.37653934928022</v>
      </c>
    </row>
    <row r="164" spans="1:19" ht="12.75">
      <c r="A164" s="11" t="s">
        <v>35</v>
      </c>
      <c r="B164" s="55"/>
      <c r="C164" s="76"/>
      <c r="D164" s="77"/>
      <c r="E164" s="77"/>
      <c r="F164" s="78"/>
      <c r="G164" s="76"/>
      <c r="H164" s="77"/>
      <c r="I164" s="78"/>
      <c r="J164" s="76"/>
      <c r="K164" s="77"/>
      <c r="L164" s="139"/>
      <c r="M164" s="76"/>
      <c r="N164" s="77"/>
      <c r="O164" s="78"/>
      <c r="P164" s="187"/>
      <c r="Q164" s="171"/>
      <c r="R164" s="171"/>
      <c r="S164" s="168"/>
    </row>
    <row r="165" spans="1:19" ht="12.75">
      <c r="A165" s="12" t="s">
        <v>87</v>
      </c>
      <c r="B165" s="55"/>
      <c r="C165" s="75"/>
      <c r="D165" s="73">
        <f>11000</f>
        <v>11000</v>
      </c>
      <c r="E165" s="73"/>
      <c r="F165" s="74">
        <f aca="true" t="shared" si="53" ref="F165:F170">C165+D165+E165</f>
        <v>11000</v>
      </c>
      <c r="G165" s="75">
        <v>3000</v>
      </c>
      <c r="H165" s="73">
        <f>478</f>
        <v>478</v>
      </c>
      <c r="I165" s="74">
        <f aca="true" t="shared" si="54" ref="I165:I170">F165+G165+H165</f>
        <v>14478</v>
      </c>
      <c r="J165" s="75">
        <f>7000+2000</f>
        <v>9000</v>
      </c>
      <c r="K165" s="73"/>
      <c r="L165" s="136">
        <f aca="true" t="shared" si="55" ref="L165:L170">I165+J165+K165</f>
        <v>23478</v>
      </c>
      <c r="M165" s="75">
        <f>10000</f>
        <v>10000</v>
      </c>
      <c r="N165" s="73"/>
      <c r="O165" s="74">
        <f aca="true" t="shared" si="56" ref="O165:O170">L165+M165+N165</f>
        <v>33478</v>
      </c>
      <c r="P165" s="187"/>
      <c r="Q165" s="171">
        <f t="shared" si="51"/>
        <v>33478</v>
      </c>
      <c r="R165" s="171">
        <v>30233</v>
      </c>
      <c r="S165" s="168">
        <f t="shared" si="43"/>
        <v>90.30706732779737</v>
      </c>
    </row>
    <row r="166" spans="1:19" ht="12.75" hidden="1">
      <c r="A166" s="12" t="s">
        <v>71</v>
      </c>
      <c r="B166" s="55"/>
      <c r="C166" s="75"/>
      <c r="D166" s="73"/>
      <c r="E166" s="73"/>
      <c r="F166" s="74">
        <f t="shared" si="53"/>
        <v>0</v>
      </c>
      <c r="G166" s="75"/>
      <c r="H166" s="73"/>
      <c r="I166" s="74">
        <f t="shared" si="54"/>
        <v>0</v>
      </c>
      <c r="J166" s="75"/>
      <c r="K166" s="73"/>
      <c r="L166" s="136">
        <f t="shared" si="55"/>
        <v>0</v>
      </c>
      <c r="M166" s="75"/>
      <c r="N166" s="73"/>
      <c r="O166" s="74">
        <f t="shared" si="56"/>
        <v>0</v>
      </c>
      <c r="P166" s="187"/>
      <c r="Q166" s="171">
        <f t="shared" si="51"/>
        <v>0</v>
      </c>
      <c r="R166" s="171"/>
      <c r="S166" s="168" t="e">
        <f t="shared" si="43"/>
        <v>#DIV/0!</v>
      </c>
    </row>
    <row r="167" spans="1:19" ht="12.75">
      <c r="A167" s="13" t="s">
        <v>319</v>
      </c>
      <c r="B167" s="55"/>
      <c r="C167" s="75"/>
      <c r="D167" s="73">
        <v>6465</v>
      </c>
      <c r="E167" s="73"/>
      <c r="F167" s="74">
        <f t="shared" si="53"/>
        <v>6465</v>
      </c>
      <c r="G167" s="75"/>
      <c r="H167" s="73"/>
      <c r="I167" s="74">
        <f t="shared" si="54"/>
        <v>6465</v>
      </c>
      <c r="J167" s="75"/>
      <c r="K167" s="73"/>
      <c r="L167" s="136">
        <f t="shared" si="55"/>
        <v>6465</v>
      </c>
      <c r="M167" s="75"/>
      <c r="N167" s="73"/>
      <c r="O167" s="74">
        <f t="shared" si="56"/>
        <v>6465</v>
      </c>
      <c r="P167" s="187"/>
      <c r="Q167" s="171">
        <f t="shared" si="51"/>
        <v>6465</v>
      </c>
      <c r="R167" s="171">
        <v>5070</v>
      </c>
      <c r="S167" s="168">
        <f t="shared" si="43"/>
        <v>78.42227378190255</v>
      </c>
    </row>
    <row r="168" spans="1:19" ht="12.75" hidden="1">
      <c r="A168" s="13" t="s">
        <v>98</v>
      </c>
      <c r="B168" s="55"/>
      <c r="C168" s="75"/>
      <c r="D168" s="73"/>
      <c r="E168" s="73"/>
      <c r="F168" s="74">
        <f t="shared" si="53"/>
        <v>0</v>
      </c>
      <c r="G168" s="75"/>
      <c r="H168" s="73"/>
      <c r="I168" s="74">
        <f t="shared" si="54"/>
        <v>0</v>
      </c>
      <c r="J168" s="75"/>
      <c r="K168" s="73"/>
      <c r="L168" s="136">
        <f t="shared" si="55"/>
        <v>0</v>
      </c>
      <c r="M168" s="75"/>
      <c r="N168" s="73"/>
      <c r="O168" s="74">
        <f t="shared" si="56"/>
        <v>0</v>
      </c>
      <c r="P168" s="187"/>
      <c r="Q168" s="171">
        <f t="shared" si="51"/>
        <v>0</v>
      </c>
      <c r="R168" s="171"/>
      <c r="S168" s="168" t="e">
        <f t="shared" si="43"/>
        <v>#DIV/0!</v>
      </c>
    </row>
    <row r="169" spans="1:19" ht="12.75">
      <c r="A169" s="12" t="s">
        <v>85</v>
      </c>
      <c r="B169" s="55"/>
      <c r="C169" s="75">
        <v>45000</v>
      </c>
      <c r="D169" s="73">
        <f>-213.56-2644.67</f>
        <v>-2858.23</v>
      </c>
      <c r="E169" s="73"/>
      <c r="F169" s="74">
        <f t="shared" si="53"/>
        <v>42141.77</v>
      </c>
      <c r="G169" s="75"/>
      <c r="H169" s="73">
        <v>21194</v>
      </c>
      <c r="I169" s="74">
        <f t="shared" si="54"/>
        <v>63335.77</v>
      </c>
      <c r="J169" s="75"/>
      <c r="K169" s="73">
        <v>-222.65</v>
      </c>
      <c r="L169" s="136">
        <f t="shared" si="55"/>
        <v>63113.119999999995</v>
      </c>
      <c r="M169" s="75">
        <f>-1690.12+2644.67</f>
        <v>954.5500000000002</v>
      </c>
      <c r="N169" s="73"/>
      <c r="O169" s="74">
        <f t="shared" si="56"/>
        <v>64067.67</v>
      </c>
      <c r="P169" s="187"/>
      <c r="Q169" s="171">
        <f t="shared" si="51"/>
        <v>64067.67</v>
      </c>
      <c r="R169" s="171">
        <v>34775.79</v>
      </c>
      <c r="S169" s="168">
        <f t="shared" si="43"/>
        <v>54.2797794894055</v>
      </c>
    </row>
    <row r="170" spans="1:19" ht="12.75">
      <c r="A170" s="21" t="s">
        <v>88</v>
      </c>
      <c r="B170" s="58"/>
      <c r="C170" s="83"/>
      <c r="D170" s="84"/>
      <c r="E170" s="84"/>
      <c r="F170" s="121">
        <f t="shared" si="53"/>
        <v>0</v>
      </c>
      <c r="G170" s="83">
        <v>8302</v>
      </c>
      <c r="H170" s="84">
        <v>9200</v>
      </c>
      <c r="I170" s="121">
        <f t="shared" si="54"/>
        <v>17502</v>
      </c>
      <c r="J170" s="83"/>
      <c r="K170" s="84">
        <v>3400</v>
      </c>
      <c r="L170" s="150">
        <f t="shared" si="55"/>
        <v>20902</v>
      </c>
      <c r="M170" s="83">
        <f>5604+2644.67</f>
        <v>8248.67</v>
      </c>
      <c r="N170" s="84">
        <f>7000</f>
        <v>7000</v>
      </c>
      <c r="O170" s="121">
        <f t="shared" si="56"/>
        <v>36150.67</v>
      </c>
      <c r="P170" s="195"/>
      <c r="Q170" s="207">
        <f t="shared" si="51"/>
        <v>36150.67</v>
      </c>
      <c r="R170" s="207">
        <v>34775.79</v>
      </c>
      <c r="S170" s="215">
        <f t="shared" si="43"/>
        <v>96.1968063109204</v>
      </c>
    </row>
    <row r="171" spans="1:19" ht="12.75">
      <c r="A171" s="14" t="s">
        <v>89</v>
      </c>
      <c r="B171" s="59"/>
      <c r="C171" s="76">
        <f aca="true" t="shared" si="57" ref="C171:O171">C172+C177</f>
        <v>7660</v>
      </c>
      <c r="D171" s="77">
        <f t="shared" si="57"/>
        <v>4117.3</v>
      </c>
      <c r="E171" s="77">
        <f t="shared" si="57"/>
        <v>0</v>
      </c>
      <c r="F171" s="78">
        <f t="shared" si="57"/>
        <v>11777.3</v>
      </c>
      <c r="G171" s="76">
        <f t="shared" si="57"/>
        <v>0</v>
      </c>
      <c r="H171" s="77">
        <f t="shared" si="57"/>
        <v>0</v>
      </c>
      <c r="I171" s="78">
        <f t="shared" si="57"/>
        <v>11777.3</v>
      </c>
      <c r="J171" s="76">
        <f t="shared" si="57"/>
        <v>0</v>
      </c>
      <c r="K171" s="77">
        <f t="shared" si="57"/>
        <v>0</v>
      </c>
      <c r="L171" s="139">
        <f t="shared" si="57"/>
        <v>11777.3</v>
      </c>
      <c r="M171" s="76">
        <f t="shared" si="57"/>
        <v>0</v>
      </c>
      <c r="N171" s="77">
        <f t="shared" si="57"/>
        <v>0</v>
      </c>
      <c r="O171" s="78">
        <f t="shared" si="57"/>
        <v>11777.3</v>
      </c>
      <c r="P171" s="191">
        <f>P172+P177</f>
        <v>0</v>
      </c>
      <c r="Q171" s="175">
        <f>Q172+Q177</f>
        <v>11777.3</v>
      </c>
      <c r="R171" s="175">
        <f>R172+R177</f>
        <v>9580.98</v>
      </c>
      <c r="S171" s="165">
        <f t="shared" si="43"/>
        <v>81.35124349383985</v>
      </c>
    </row>
    <row r="172" spans="1:19" ht="12.75">
      <c r="A172" s="19" t="s">
        <v>64</v>
      </c>
      <c r="B172" s="59"/>
      <c r="C172" s="80">
        <f aca="true" t="shared" si="58" ref="C172:O172">SUM(C174:C176)</f>
        <v>7660</v>
      </c>
      <c r="D172" s="81">
        <f t="shared" si="58"/>
        <v>4117.3</v>
      </c>
      <c r="E172" s="81">
        <f t="shared" si="58"/>
        <v>0</v>
      </c>
      <c r="F172" s="82">
        <f t="shared" si="58"/>
        <v>11777.3</v>
      </c>
      <c r="G172" s="80">
        <f t="shared" si="58"/>
        <v>-220</v>
      </c>
      <c r="H172" s="81">
        <f t="shared" si="58"/>
        <v>0</v>
      </c>
      <c r="I172" s="82">
        <f t="shared" si="58"/>
        <v>11557.3</v>
      </c>
      <c r="J172" s="80">
        <f t="shared" si="58"/>
        <v>-50</v>
      </c>
      <c r="K172" s="81">
        <f t="shared" si="58"/>
        <v>0</v>
      </c>
      <c r="L172" s="140">
        <f t="shared" si="58"/>
        <v>11507.3</v>
      </c>
      <c r="M172" s="80">
        <f t="shared" si="58"/>
        <v>0</v>
      </c>
      <c r="N172" s="81">
        <f t="shared" si="58"/>
        <v>0</v>
      </c>
      <c r="O172" s="82">
        <f t="shared" si="58"/>
        <v>11507.3</v>
      </c>
      <c r="P172" s="193">
        <f>SUM(P174:P176)</f>
        <v>0</v>
      </c>
      <c r="Q172" s="176">
        <f>SUM(Q174:Q176)</f>
        <v>11507.3</v>
      </c>
      <c r="R172" s="176">
        <f>SUM(R174:R176)</f>
        <v>9310.98</v>
      </c>
      <c r="S172" s="214">
        <f t="shared" si="43"/>
        <v>80.91368088083217</v>
      </c>
    </row>
    <row r="173" spans="1:19" ht="12.75">
      <c r="A173" s="15" t="s">
        <v>35</v>
      </c>
      <c r="B173" s="55"/>
      <c r="C173" s="75"/>
      <c r="D173" s="73"/>
      <c r="E173" s="73"/>
      <c r="F173" s="72"/>
      <c r="G173" s="75"/>
      <c r="H173" s="73"/>
      <c r="I173" s="72"/>
      <c r="J173" s="75"/>
      <c r="K173" s="73"/>
      <c r="L173" s="138"/>
      <c r="M173" s="75"/>
      <c r="N173" s="73"/>
      <c r="O173" s="72"/>
      <c r="P173" s="187"/>
      <c r="Q173" s="171"/>
      <c r="R173" s="171"/>
      <c r="S173" s="168"/>
    </row>
    <row r="174" spans="1:19" ht="12.75">
      <c r="A174" s="13" t="s">
        <v>67</v>
      </c>
      <c r="B174" s="55"/>
      <c r="C174" s="75">
        <v>7660</v>
      </c>
      <c r="D174" s="73">
        <f>2744.3</f>
        <v>2744.3</v>
      </c>
      <c r="E174" s="73"/>
      <c r="F174" s="74">
        <f>C174+D174+E174</f>
        <v>10404.3</v>
      </c>
      <c r="G174" s="75">
        <f>-220</f>
        <v>-220</v>
      </c>
      <c r="H174" s="73">
        <f>-115</f>
        <v>-115</v>
      </c>
      <c r="I174" s="74">
        <f>SUM(F174:H174)</f>
        <v>10069.3</v>
      </c>
      <c r="J174" s="75">
        <f>-50</f>
        <v>-50</v>
      </c>
      <c r="K174" s="73"/>
      <c r="L174" s="136">
        <f>I174+J174+K174</f>
        <v>10019.3</v>
      </c>
      <c r="M174" s="75"/>
      <c r="N174" s="73">
        <f>-60</f>
        <v>-60</v>
      </c>
      <c r="O174" s="74">
        <f>L174+M174+N174</f>
        <v>9959.3</v>
      </c>
      <c r="P174" s="187"/>
      <c r="Q174" s="171">
        <f aca="true" t="shared" si="59" ref="Q174:Q224">O174+P174</f>
        <v>9959.3</v>
      </c>
      <c r="R174" s="171">
        <v>7762.98</v>
      </c>
      <c r="S174" s="168">
        <f t="shared" si="43"/>
        <v>77.94704447099696</v>
      </c>
    </row>
    <row r="175" spans="1:19" ht="12.75">
      <c r="A175" s="17" t="s">
        <v>90</v>
      </c>
      <c r="B175" s="55">
        <v>33166</v>
      </c>
      <c r="C175" s="75"/>
      <c r="D175" s="73">
        <v>1373</v>
      </c>
      <c r="E175" s="73"/>
      <c r="F175" s="74">
        <f>C175+D175+E175</f>
        <v>1373</v>
      </c>
      <c r="G175" s="75"/>
      <c r="H175" s="73"/>
      <c r="I175" s="74">
        <f>SUM(F175:H175)</f>
        <v>1373</v>
      </c>
      <c r="J175" s="75"/>
      <c r="K175" s="73"/>
      <c r="L175" s="136">
        <f>I175+J175+K175</f>
        <v>1373</v>
      </c>
      <c r="M175" s="75"/>
      <c r="N175" s="73"/>
      <c r="O175" s="74">
        <f>L175+M175+N175</f>
        <v>1373</v>
      </c>
      <c r="P175" s="187"/>
      <c r="Q175" s="171">
        <f t="shared" si="59"/>
        <v>1373</v>
      </c>
      <c r="R175" s="171">
        <v>1373</v>
      </c>
      <c r="S175" s="168">
        <f t="shared" si="43"/>
        <v>100</v>
      </c>
    </row>
    <row r="176" spans="1:19" ht="13.5" thickBot="1">
      <c r="A176" s="237" t="s">
        <v>83</v>
      </c>
      <c r="B176" s="238"/>
      <c r="C176" s="233"/>
      <c r="D176" s="234"/>
      <c r="E176" s="234"/>
      <c r="F176" s="235">
        <f>C176+D176+E176</f>
        <v>0</v>
      </c>
      <c r="G176" s="233"/>
      <c r="H176" s="234">
        <f>115</f>
        <v>115</v>
      </c>
      <c r="I176" s="235">
        <f>SUM(F176:H176)</f>
        <v>115</v>
      </c>
      <c r="J176" s="233"/>
      <c r="K176" s="234"/>
      <c r="L176" s="236">
        <f>I176+J176+K176</f>
        <v>115</v>
      </c>
      <c r="M176" s="233"/>
      <c r="N176" s="234">
        <f>60</f>
        <v>60</v>
      </c>
      <c r="O176" s="235">
        <f>L176+M176+N176</f>
        <v>175</v>
      </c>
      <c r="P176" s="205"/>
      <c r="Q176" s="164">
        <f t="shared" si="59"/>
        <v>175</v>
      </c>
      <c r="R176" s="164">
        <v>175</v>
      </c>
      <c r="S176" s="184">
        <f t="shared" si="43"/>
        <v>100</v>
      </c>
    </row>
    <row r="177" spans="1:19" ht="12.75">
      <c r="A177" s="19" t="s">
        <v>70</v>
      </c>
      <c r="B177" s="59"/>
      <c r="C177" s="80">
        <f>C180+C179</f>
        <v>0</v>
      </c>
      <c r="D177" s="81">
        <f>D180+D179</f>
        <v>0</v>
      </c>
      <c r="E177" s="81">
        <f>E180+E179</f>
        <v>0</v>
      </c>
      <c r="F177" s="82">
        <f>F180+F179</f>
        <v>0</v>
      </c>
      <c r="G177" s="80">
        <f>G180+G179</f>
        <v>220</v>
      </c>
      <c r="H177" s="81">
        <f>H180</f>
        <v>0</v>
      </c>
      <c r="I177" s="82">
        <f aca="true" t="shared" si="60" ref="I177:Q177">I180+I179</f>
        <v>220</v>
      </c>
      <c r="J177" s="80">
        <f t="shared" si="60"/>
        <v>50</v>
      </c>
      <c r="K177" s="81">
        <f t="shared" si="60"/>
        <v>0</v>
      </c>
      <c r="L177" s="140">
        <f t="shared" si="60"/>
        <v>270</v>
      </c>
      <c r="M177" s="80">
        <f t="shared" si="60"/>
        <v>0</v>
      </c>
      <c r="N177" s="81">
        <f t="shared" si="60"/>
        <v>0</v>
      </c>
      <c r="O177" s="82">
        <f t="shared" si="60"/>
        <v>270</v>
      </c>
      <c r="P177" s="193">
        <f t="shared" si="60"/>
        <v>0</v>
      </c>
      <c r="Q177" s="176">
        <f t="shared" si="60"/>
        <v>270</v>
      </c>
      <c r="R177" s="176">
        <f>R180+R179</f>
        <v>270</v>
      </c>
      <c r="S177" s="214">
        <f t="shared" si="43"/>
        <v>100</v>
      </c>
    </row>
    <row r="178" spans="1:19" ht="12.75">
      <c r="A178" s="15" t="s">
        <v>35</v>
      </c>
      <c r="B178" s="55"/>
      <c r="C178" s="75"/>
      <c r="D178" s="73"/>
      <c r="E178" s="73"/>
      <c r="F178" s="72"/>
      <c r="G178" s="75"/>
      <c r="H178" s="73"/>
      <c r="I178" s="72"/>
      <c r="J178" s="75"/>
      <c r="K178" s="73"/>
      <c r="L178" s="138"/>
      <c r="M178" s="75"/>
      <c r="N178" s="73"/>
      <c r="O178" s="72"/>
      <c r="P178" s="187"/>
      <c r="Q178" s="171"/>
      <c r="R178" s="171"/>
      <c r="S178" s="168"/>
    </row>
    <row r="179" spans="1:19" ht="12.75">
      <c r="A179" s="148" t="s">
        <v>71</v>
      </c>
      <c r="B179" s="58"/>
      <c r="C179" s="83"/>
      <c r="D179" s="84"/>
      <c r="E179" s="84"/>
      <c r="F179" s="149"/>
      <c r="G179" s="83">
        <f>220</f>
        <v>220</v>
      </c>
      <c r="H179" s="84"/>
      <c r="I179" s="121">
        <f>SUM(F179:H179)</f>
        <v>220</v>
      </c>
      <c r="J179" s="83">
        <f>50</f>
        <v>50</v>
      </c>
      <c r="K179" s="84"/>
      <c r="L179" s="150">
        <f>I179+J179+K179</f>
        <v>270</v>
      </c>
      <c r="M179" s="83"/>
      <c r="N179" s="84"/>
      <c r="O179" s="121">
        <f>L179+M179+N179</f>
        <v>270</v>
      </c>
      <c r="P179" s="195"/>
      <c r="Q179" s="207">
        <f t="shared" si="59"/>
        <v>270</v>
      </c>
      <c r="R179" s="207">
        <v>270</v>
      </c>
      <c r="S179" s="215">
        <f t="shared" si="43"/>
        <v>100</v>
      </c>
    </row>
    <row r="180" spans="1:19" ht="12.75" hidden="1">
      <c r="A180" s="16" t="s">
        <v>223</v>
      </c>
      <c r="B180" s="58"/>
      <c r="C180" s="83"/>
      <c r="D180" s="84"/>
      <c r="E180" s="84"/>
      <c r="F180" s="121">
        <f>C180+D180+E180</f>
        <v>0</v>
      </c>
      <c r="G180" s="83"/>
      <c r="H180" s="84"/>
      <c r="I180" s="121">
        <f>SUM(F180:H180)</f>
        <v>0</v>
      </c>
      <c r="J180" s="83"/>
      <c r="K180" s="84"/>
      <c r="L180" s="150">
        <f>I180+J180+K180</f>
        <v>0</v>
      </c>
      <c r="M180" s="83"/>
      <c r="N180" s="84"/>
      <c r="O180" s="121">
        <f>L180+M180+N180</f>
        <v>0</v>
      </c>
      <c r="P180" s="195"/>
      <c r="Q180" s="207">
        <f t="shared" si="59"/>
        <v>0</v>
      </c>
      <c r="R180" s="171"/>
      <c r="S180" s="168" t="e">
        <f t="shared" si="43"/>
        <v>#DIV/0!</v>
      </c>
    </row>
    <row r="181" spans="1:19" ht="12.75">
      <c r="A181" s="10" t="s">
        <v>91</v>
      </c>
      <c r="B181" s="59"/>
      <c r="C181" s="70">
        <f aca="true" t="shared" si="61" ref="C181:O181">C182+C196</f>
        <v>1108792.1</v>
      </c>
      <c r="D181" s="71">
        <f t="shared" si="61"/>
        <v>59621.42</v>
      </c>
      <c r="E181" s="71">
        <f t="shared" si="61"/>
        <v>0</v>
      </c>
      <c r="F181" s="72">
        <f t="shared" si="61"/>
        <v>1168413.52</v>
      </c>
      <c r="G181" s="70">
        <f t="shared" si="61"/>
        <v>269148.66000000003</v>
      </c>
      <c r="H181" s="71">
        <f t="shared" si="61"/>
        <v>0</v>
      </c>
      <c r="I181" s="72">
        <f t="shared" si="61"/>
        <v>1437562.18</v>
      </c>
      <c r="J181" s="70">
        <f t="shared" si="61"/>
        <v>8974</v>
      </c>
      <c r="K181" s="71">
        <f t="shared" si="61"/>
        <v>0</v>
      </c>
      <c r="L181" s="138">
        <f t="shared" si="61"/>
        <v>1446536.18</v>
      </c>
      <c r="M181" s="70">
        <f t="shared" si="61"/>
        <v>-11658.79</v>
      </c>
      <c r="N181" s="71">
        <f t="shared" si="61"/>
        <v>0</v>
      </c>
      <c r="O181" s="72">
        <f t="shared" si="61"/>
        <v>1434877.3900000001</v>
      </c>
      <c r="P181" s="188">
        <f>P182+P196</f>
        <v>8095.86</v>
      </c>
      <c r="Q181" s="172">
        <f>Q182+Q196</f>
        <v>1442973.25</v>
      </c>
      <c r="R181" s="172">
        <f>R182+R196</f>
        <v>1436013.7</v>
      </c>
      <c r="S181" s="165">
        <f t="shared" si="43"/>
        <v>99.51769376182129</v>
      </c>
    </row>
    <row r="182" spans="1:19" ht="12.75">
      <c r="A182" s="19" t="s">
        <v>64</v>
      </c>
      <c r="B182" s="59"/>
      <c r="C182" s="80">
        <f aca="true" t="shared" si="62" ref="C182:O182">SUM(C185:C195)</f>
        <v>1108792.1</v>
      </c>
      <c r="D182" s="81">
        <f t="shared" si="62"/>
        <v>40371.42</v>
      </c>
      <c r="E182" s="81">
        <f t="shared" si="62"/>
        <v>0</v>
      </c>
      <c r="F182" s="82">
        <f t="shared" si="62"/>
        <v>1149163.52</v>
      </c>
      <c r="G182" s="80">
        <f t="shared" si="62"/>
        <v>269148.66000000003</v>
      </c>
      <c r="H182" s="81">
        <f t="shared" si="62"/>
        <v>0</v>
      </c>
      <c r="I182" s="82">
        <f t="shared" si="62"/>
        <v>1418312.18</v>
      </c>
      <c r="J182" s="80">
        <f t="shared" si="62"/>
        <v>8974</v>
      </c>
      <c r="K182" s="81">
        <f t="shared" si="62"/>
        <v>0</v>
      </c>
      <c r="L182" s="140">
        <f t="shared" si="62"/>
        <v>1427286.18</v>
      </c>
      <c r="M182" s="80">
        <f t="shared" si="62"/>
        <v>-3509.04</v>
      </c>
      <c r="N182" s="81">
        <f t="shared" si="62"/>
        <v>0</v>
      </c>
      <c r="O182" s="82">
        <f t="shared" si="62"/>
        <v>1423777.1400000001</v>
      </c>
      <c r="P182" s="193">
        <f>SUM(P185:P195)</f>
        <v>-1354.54</v>
      </c>
      <c r="Q182" s="176">
        <f>SUM(Q185:Q195)</f>
        <v>1422422.6</v>
      </c>
      <c r="R182" s="176">
        <f>SUM(R185:R195)</f>
        <v>1415463.07</v>
      </c>
      <c r="S182" s="214">
        <f t="shared" si="43"/>
        <v>99.51072698085646</v>
      </c>
    </row>
    <row r="183" spans="1:19" ht="12.75">
      <c r="A183" s="15" t="s">
        <v>35</v>
      </c>
      <c r="B183" s="55"/>
      <c r="C183" s="75"/>
      <c r="D183" s="73"/>
      <c r="E183" s="73"/>
      <c r="F183" s="72"/>
      <c r="G183" s="75"/>
      <c r="H183" s="73"/>
      <c r="I183" s="72"/>
      <c r="J183" s="75"/>
      <c r="K183" s="73"/>
      <c r="L183" s="138"/>
      <c r="M183" s="75"/>
      <c r="N183" s="73"/>
      <c r="O183" s="72"/>
      <c r="P183" s="187"/>
      <c r="Q183" s="171"/>
      <c r="R183" s="171"/>
      <c r="S183" s="168"/>
    </row>
    <row r="184" spans="1:19" ht="12.75">
      <c r="A184" s="17" t="s">
        <v>92</v>
      </c>
      <c r="B184" s="55"/>
      <c r="C184" s="75">
        <f aca="true" t="shared" si="63" ref="C184:I184">C185+C186</f>
        <v>669290</v>
      </c>
      <c r="D184" s="73">
        <f t="shared" si="63"/>
        <v>3756.18</v>
      </c>
      <c r="E184" s="73">
        <f t="shared" si="63"/>
        <v>-350</v>
      </c>
      <c r="F184" s="74">
        <f t="shared" si="63"/>
        <v>672696.1799999999</v>
      </c>
      <c r="G184" s="75">
        <f t="shared" si="63"/>
        <v>2326.51</v>
      </c>
      <c r="H184" s="73">
        <f t="shared" si="63"/>
        <v>0</v>
      </c>
      <c r="I184" s="74">
        <f t="shared" si="63"/>
        <v>675022.69</v>
      </c>
      <c r="J184" s="75"/>
      <c r="K184" s="73"/>
      <c r="L184" s="136">
        <f>L185+L186</f>
        <v>675322.69</v>
      </c>
      <c r="M184" s="75"/>
      <c r="N184" s="73"/>
      <c r="O184" s="74">
        <f>O185+O186</f>
        <v>675386.65</v>
      </c>
      <c r="P184" s="190">
        <f>P185+P186</f>
        <v>0</v>
      </c>
      <c r="Q184" s="174">
        <f>Q185+Q186</f>
        <v>675386.65</v>
      </c>
      <c r="R184" s="174">
        <f>R185+R186</f>
        <v>668427.23</v>
      </c>
      <c r="S184" s="168">
        <f t="shared" si="43"/>
        <v>98.9695650632123</v>
      </c>
    </row>
    <row r="185" spans="1:19" ht="12.75">
      <c r="A185" s="17" t="s">
        <v>93</v>
      </c>
      <c r="B185" s="55"/>
      <c r="C185" s="75">
        <v>294442</v>
      </c>
      <c r="D185" s="73">
        <f>3750.99+5.19</f>
        <v>3756.18</v>
      </c>
      <c r="E185" s="73">
        <v>-350</v>
      </c>
      <c r="F185" s="74">
        <f aca="true" t="shared" si="64" ref="F185:F195">C185+D185+E185</f>
        <v>297848.18</v>
      </c>
      <c r="G185" s="125">
        <f>2504.51-178</f>
        <v>2326.51</v>
      </c>
      <c r="H185" s="134"/>
      <c r="I185" s="74">
        <f aca="true" t="shared" si="65" ref="I185:I195">F185+G185+H185</f>
        <v>300174.69</v>
      </c>
      <c r="J185" s="75">
        <f>300</f>
        <v>300</v>
      </c>
      <c r="K185" s="73"/>
      <c r="L185" s="136">
        <f aca="true" t="shared" si="66" ref="L185:L195">I185+J185+K185</f>
        <v>300474.69</v>
      </c>
      <c r="M185" s="75">
        <f>63.96+1669.91</f>
        <v>1733.8700000000001</v>
      </c>
      <c r="N185" s="73"/>
      <c r="O185" s="74">
        <f aca="true" t="shared" si="67" ref="O185:O195">L185+M185+N185</f>
        <v>302208.56</v>
      </c>
      <c r="P185" s="187"/>
      <c r="Q185" s="171">
        <f t="shared" si="59"/>
        <v>302208.56</v>
      </c>
      <c r="R185" s="171">
        <v>295249.14</v>
      </c>
      <c r="S185" s="168">
        <f t="shared" si="43"/>
        <v>97.69714663277573</v>
      </c>
    </row>
    <row r="186" spans="1:19" ht="12.75">
      <c r="A186" s="13" t="s">
        <v>94</v>
      </c>
      <c r="B186" s="55"/>
      <c r="C186" s="75">
        <v>374848</v>
      </c>
      <c r="D186" s="73"/>
      <c r="E186" s="73"/>
      <c r="F186" s="74">
        <f t="shared" si="64"/>
        <v>374848</v>
      </c>
      <c r="G186" s="125"/>
      <c r="H186" s="134"/>
      <c r="I186" s="74">
        <f t="shared" si="65"/>
        <v>374848</v>
      </c>
      <c r="J186" s="75"/>
      <c r="K186" s="73"/>
      <c r="L186" s="136">
        <f t="shared" si="66"/>
        <v>374848</v>
      </c>
      <c r="M186" s="75">
        <f>-1669.91</f>
        <v>-1669.91</v>
      </c>
      <c r="N186" s="73"/>
      <c r="O186" s="74">
        <f t="shared" si="67"/>
        <v>373178.09</v>
      </c>
      <c r="P186" s="187"/>
      <c r="Q186" s="171">
        <f t="shared" si="59"/>
        <v>373178.09</v>
      </c>
      <c r="R186" s="171">
        <v>373178.09</v>
      </c>
      <c r="S186" s="168">
        <f t="shared" si="43"/>
        <v>100</v>
      </c>
    </row>
    <row r="187" spans="1:19" ht="12.75">
      <c r="A187" s="17" t="s">
        <v>95</v>
      </c>
      <c r="B187" s="55"/>
      <c r="C187" s="75">
        <v>20998</v>
      </c>
      <c r="D187" s="73"/>
      <c r="E187" s="73"/>
      <c r="F187" s="74">
        <f t="shared" si="64"/>
        <v>20998</v>
      </c>
      <c r="G187" s="75"/>
      <c r="H187" s="73"/>
      <c r="I187" s="74">
        <f t="shared" si="65"/>
        <v>20998</v>
      </c>
      <c r="J187" s="75">
        <f>-3000</f>
        <v>-3000</v>
      </c>
      <c r="K187" s="73"/>
      <c r="L187" s="136">
        <f t="shared" si="66"/>
        <v>17998</v>
      </c>
      <c r="M187" s="75">
        <f>-2000</f>
        <v>-2000</v>
      </c>
      <c r="N187" s="73"/>
      <c r="O187" s="74">
        <f t="shared" si="67"/>
        <v>15998</v>
      </c>
      <c r="P187" s="187"/>
      <c r="Q187" s="171">
        <f t="shared" si="59"/>
        <v>15998</v>
      </c>
      <c r="R187" s="171">
        <v>15998</v>
      </c>
      <c r="S187" s="168">
        <f t="shared" si="43"/>
        <v>100</v>
      </c>
    </row>
    <row r="188" spans="1:19" ht="12.75">
      <c r="A188" s="13" t="s">
        <v>96</v>
      </c>
      <c r="B188" s="55"/>
      <c r="C188" s="75"/>
      <c r="D188" s="73"/>
      <c r="E188" s="73">
        <v>350</v>
      </c>
      <c r="F188" s="74">
        <f t="shared" si="64"/>
        <v>350</v>
      </c>
      <c r="G188" s="75"/>
      <c r="H188" s="73"/>
      <c r="I188" s="74">
        <f t="shared" si="65"/>
        <v>350</v>
      </c>
      <c r="J188" s="75"/>
      <c r="K188" s="73"/>
      <c r="L188" s="136">
        <f t="shared" si="66"/>
        <v>350</v>
      </c>
      <c r="M188" s="75"/>
      <c r="N188" s="73"/>
      <c r="O188" s="74">
        <f t="shared" si="67"/>
        <v>350</v>
      </c>
      <c r="P188" s="187"/>
      <c r="Q188" s="171">
        <f t="shared" si="59"/>
        <v>350</v>
      </c>
      <c r="R188" s="171">
        <v>350</v>
      </c>
      <c r="S188" s="168">
        <f t="shared" si="43"/>
        <v>100</v>
      </c>
    </row>
    <row r="189" spans="1:19" ht="12.75" hidden="1">
      <c r="A189" s="13" t="s">
        <v>83</v>
      </c>
      <c r="B189" s="55"/>
      <c r="C189" s="75"/>
      <c r="D189" s="73"/>
      <c r="E189" s="73"/>
      <c r="F189" s="74">
        <f t="shared" si="64"/>
        <v>0</v>
      </c>
      <c r="G189" s="75"/>
      <c r="H189" s="73"/>
      <c r="I189" s="74">
        <f t="shared" si="65"/>
        <v>0</v>
      </c>
      <c r="J189" s="75"/>
      <c r="K189" s="73"/>
      <c r="L189" s="136">
        <f t="shared" si="66"/>
        <v>0</v>
      </c>
      <c r="M189" s="75"/>
      <c r="N189" s="73"/>
      <c r="O189" s="74">
        <f t="shared" si="67"/>
        <v>0</v>
      </c>
      <c r="P189" s="187"/>
      <c r="Q189" s="171">
        <f t="shared" si="59"/>
        <v>0</v>
      </c>
      <c r="R189" s="171"/>
      <c r="S189" s="168" t="e">
        <f t="shared" si="43"/>
        <v>#DIV/0!</v>
      </c>
    </row>
    <row r="190" spans="1:19" ht="12.75" hidden="1">
      <c r="A190" s="13" t="s">
        <v>208</v>
      </c>
      <c r="B190" s="55"/>
      <c r="C190" s="75"/>
      <c r="D190" s="73"/>
      <c r="E190" s="73"/>
      <c r="F190" s="74">
        <f t="shared" si="64"/>
        <v>0</v>
      </c>
      <c r="G190" s="75"/>
      <c r="H190" s="73"/>
      <c r="I190" s="74">
        <f t="shared" si="65"/>
        <v>0</v>
      </c>
      <c r="J190" s="75"/>
      <c r="K190" s="73"/>
      <c r="L190" s="136">
        <f>I190+J190+K190</f>
        <v>0</v>
      </c>
      <c r="M190" s="75"/>
      <c r="N190" s="73"/>
      <c r="O190" s="74">
        <f t="shared" si="67"/>
        <v>0</v>
      </c>
      <c r="P190" s="187"/>
      <c r="Q190" s="171">
        <f t="shared" si="59"/>
        <v>0</v>
      </c>
      <c r="R190" s="171"/>
      <c r="S190" s="168" t="e">
        <f t="shared" si="43"/>
        <v>#DIV/0!</v>
      </c>
    </row>
    <row r="191" spans="1:19" ht="12.75" hidden="1">
      <c r="A191" s="13" t="s">
        <v>97</v>
      </c>
      <c r="B191" s="55">
        <v>91252</v>
      </c>
      <c r="C191" s="75"/>
      <c r="D191" s="73"/>
      <c r="E191" s="73"/>
      <c r="F191" s="74">
        <f t="shared" si="64"/>
        <v>0</v>
      </c>
      <c r="G191" s="75"/>
      <c r="H191" s="73"/>
      <c r="I191" s="74">
        <f t="shared" si="65"/>
        <v>0</v>
      </c>
      <c r="J191" s="75"/>
      <c r="K191" s="73"/>
      <c r="L191" s="136">
        <f t="shared" si="66"/>
        <v>0</v>
      </c>
      <c r="M191" s="75"/>
      <c r="N191" s="73"/>
      <c r="O191" s="74">
        <f t="shared" si="67"/>
        <v>0</v>
      </c>
      <c r="P191" s="187"/>
      <c r="Q191" s="171">
        <f t="shared" si="59"/>
        <v>0</v>
      </c>
      <c r="R191" s="171"/>
      <c r="S191" s="168" t="e">
        <f t="shared" si="43"/>
        <v>#DIV/0!</v>
      </c>
    </row>
    <row r="192" spans="1:19" ht="12.75">
      <c r="A192" s="13" t="s">
        <v>178</v>
      </c>
      <c r="B192" s="55">
        <v>27355</v>
      </c>
      <c r="C192" s="75"/>
      <c r="D192" s="73"/>
      <c r="E192" s="73"/>
      <c r="F192" s="74">
        <f t="shared" si="64"/>
        <v>0</v>
      </c>
      <c r="G192" s="75">
        <f>266644.15</f>
        <v>266644.15</v>
      </c>
      <c r="H192" s="73"/>
      <c r="I192" s="74">
        <f t="shared" si="65"/>
        <v>266644.15</v>
      </c>
      <c r="J192" s="75"/>
      <c r="K192" s="73"/>
      <c r="L192" s="136">
        <f t="shared" si="66"/>
        <v>266644.15</v>
      </c>
      <c r="M192" s="75"/>
      <c r="N192" s="73"/>
      <c r="O192" s="74">
        <f t="shared" si="67"/>
        <v>266644.15</v>
      </c>
      <c r="P192" s="187"/>
      <c r="Q192" s="171">
        <f t="shared" si="59"/>
        <v>266644.15</v>
      </c>
      <c r="R192" s="171">
        <v>266644.15</v>
      </c>
      <c r="S192" s="168">
        <f t="shared" si="43"/>
        <v>100</v>
      </c>
    </row>
    <row r="193" spans="1:19" ht="12.75">
      <c r="A193" s="17" t="s">
        <v>334</v>
      </c>
      <c r="B193" s="55">
        <v>91252</v>
      </c>
      <c r="C193" s="75"/>
      <c r="D193" s="73"/>
      <c r="E193" s="73"/>
      <c r="F193" s="74"/>
      <c r="G193" s="75"/>
      <c r="H193" s="73"/>
      <c r="I193" s="74">
        <f t="shared" si="65"/>
        <v>0</v>
      </c>
      <c r="J193" s="75">
        <f>4674</f>
        <v>4674</v>
      </c>
      <c r="K193" s="73"/>
      <c r="L193" s="136">
        <f t="shared" si="66"/>
        <v>4674</v>
      </c>
      <c r="M193" s="75"/>
      <c r="N193" s="73"/>
      <c r="O193" s="74">
        <f t="shared" si="67"/>
        <v>4674</v>
      </c>
      <c r="P193" s="187">
        <f>-325.6-96.11</f>
        <v>-421.71000000000004</v>
      </c>
      <c r="Q193" s="171">
        <f t="shared" si="59"/>
        <v>4252.29</v>
      </c>
      <c r="R193" s="171">
        <v>4252.29</v>
      </c>
      <c r="S193" s="168">
        <f t="shared" si="43"/>
        <v>100</v>
      </c>
    </row>
    <row r="194" spans="1:19" ht="12.75">
      <c r="A194" s="13" t="s">
        <v>67</v>
      </c>
      <c r="B194" s="55"/>
      <c r="C194" s="75">
        <v>418504.1</v>
      </c>
      <c r="D194" s="73">
        <f>5099.74+1640+1000+1875.5+27000</f>
        <v>36615.24</v>
      </c>
      <c r="E194" s="73"/>
      <c r="F194" s="74">
        <f t="shared" si="64"/>
        <v>455119.33999999997</v>
      </c>
      <c r="G194" s="75">
        <f>178</f>
        <v>178</v>
      </c>
      <c r="H194" s="73"/>
      <c r="I194" s="74">
        <f t="shared" si="65"/>
        <v>455297.33999999997</v>
      </c>
      <c r="J194" s="75">
        <f>3000+4000</f>
        <v>7000</v>
      </c>
      <c r="K194" s="73"/>
      <c r="L194" s="136">
        <f t="shared" si="66"/>
        <v>462297.33999999997</v>
      </c>
      <c r="M194" s="75">
        <f>-169.4-1645+241.4</f>
        <v>-1573</v>
      </c>
      <c r="N194" s="73"/>
      <c r="O194" s="74">
        <f t="shared" si="67"/>
        <v>460724.33999999997</v>
      </c>
      <c r="P194" s="187">
        <f>372.17-1305</f>
        <v>-932.8299999999999</v>
      </c>
      <c r="Q194" s="171">
        <f t="shared" si="59"/>
        <v>459791.50999999995</v>
      </c>
      <c r="R194" s="171">
        <v>459791.4</v>
      </c>
      <c r="S194" s="168">
        <f t="shared" si="43"/>
        <v>99.9999760761133</v>
      </c>
    </row>
    <row r="195" spans="1:19" ht="12" customHeight="1" hidden="1">
      <c r="A195" s="13" t="s">
        <v>98</v>
      </c>
      <c r="B195" s="55"/>
      <c r="C195" s="75"/>
      <c r="D195" s="73"/>
      <c r="E195" s="73"/>
      <c r="F195" s="74">
        <f t="shared" si="64"/>
        <v>0</v>
      </c>
      <c r="G195" s="75"/>
      <c r="H195" s="73"/>
      <c r="I195" s="74">
        <f t="shared" si="65"/>
        <v>0</v>
      </c>
      <c r="J195" s="75"/>
      <c r="K195" s="73"/>
      <c r="L195" s="136">
        <f t="shared" si="66"/>
        <v>0</v>
      </c>
      <c r="M195" s="75"/>
      <c r="N195" s="73"/>
      <c r="O195" s="74">
        <f t="shared" si="67"/>
        <v>0</v>
      </c>
      <c r="P195" s="187"/>
      <c r="Q195" s="171">
        <f t="shared" si="59"/>
        <v>0</v>
      </c>
      <c r="R195" s="171"/>
      <c r="S195" s="168" t="e">
        <f t="shared" si="43"/>
        <v>#DIV/0!</v>
      </c>
    </row>
    <row r="196" spans="1:19" ht="12.75">
      <c r="A196" s="20" t="s">
        <v>70</v>
      </c>
      <c r="B196" s="59"/>
      <c r="C196" s="85">
        <f aca="true" t="shared" si="68" ref="C196:Q196">SUM(C198:C200)</f>
        <v>0</v>
      </c>
      <c r="D196" s="86">
        <f t="shared" si="68"/>
        <v>19250</v>
      </c>
      <c r="E196" s="86">
        <f t="shared" si="68"/>
        <v>0</v>
      </c>
      <c r="F196" s="87">
        <f t="shared" si="68"/>
        <v>19250</v>
      </c>
      <c r="G196" s="85">
        <f t="shared" si="68"/>
        <v>0</v>
      </c>
      <c r="H196" s="86">
        <f t="shared" si="68"/>
        <v>0</v>
      </c>
      <c r="I196" s="87">
        <f t="shared" si="68"/>
        <v>19250</v>
      </c>
      <c r="J196" s="85">
        <f t="shared" si="68"/>
        <v>0</v>
      </c>
      <c r="K196" s="86">
        <f t="shared" si="68"/>
        <v>0</v>
      </c>
      <c r="L196" s="141">
        <f t="shared" si="68"/>
        <v>19250</v>
      </c>
      <c r="M196" s="85">
        <f t="shared" si="68"/>
        <v>-8149.75</v>
      </c>
      <c r="N196" s="86">
        <f t="shared" si="68"/>
        <v>0</v>
      </c>
      <c r="O196" s="87">
        <f t="shared" si="68"/>
        <v>11100.25</v>
      </c>
      <c r="P196" s="194">
        <f t="shared" si="68"/>
        <v>9450.4</v>
      </c>
      <c r="Q196" s="208">
        <f t="shared" si="68"/>
        <v>20550.65</v>
      </c>
      <c r="R196" s="177">
        <f>SUM(R198:R200)</f>
        <v>20550.629999999997</v>
      </c>
      <c r="S196" s="214">
        <f t="shared" si="43"/>
        <v>99.99990267947727</v>
      </c>
    </row>
    <row r="197" spans="1:19" ht="12.75">
      <c r="A197" s="11" t="s">
        <v>35</v>
      </c>
      <c r="B197" s="55"/>
      <c r="C197" s="76"/>
      <c r="D197" s="77"/>
      <c r="E197" s="77"/>
      <c r="F197" s="78"/>
      <c r="G197" s="76"/>
      <c r="H197" s="77"/>
      <c r="I197" s="78"/>
      <c r="J197" s="76"/>
      <c r="K197" s="77"/>
      <c r="L197" s="139"/>
      <c r="M197" s="76"/>
      <c r="N197" s="77"/>
      <c r="O197" s="78"/>
      <c r="P197" s="187"/>
      <c r="Q197" s="171"/>
      <c r="R197" s="171"/>
      <c r="S197" s="168"/>
    </row>
    <row r="198" spans="1:19" ht="12.75">
      <c r="A198" s="12" t="s">
        <v>71</v>
      </c>
      <c r="B198" s="55"/>
      <c r="C198" s="75"/>
      <c r="D198" s="73"/>
      <c r="E198" s="73"/>
      <c r="F198" s="74">
        <f>C198+D198+E198</f>
        <v>0</v>
      </c>
      <c r="G198" s="75"/>
      <c r="H198" s="73"/>
      <c r="I198" s="74">
        <f>F198+G198+H198</f>
        <v>0</v>
      </c>
      <c r="J198" s="75"/>
      <c r="K198" s="73"/>
      <c r="L198" s="136">
        <f>I198+J198+K198</f>
        <v>0</v>
      </c>
      <c r="M198" s="75"/>
      <c r="N198" s="73"/>
      <c r="O198" s="74">
        <f>L198+M198+N198</f>
        <v>0</v>
      </c>
      <c r="P198" s="187">
        <f>10127.83</f>
        <v>10127.83</v>
      </c>
      <c r="Q198" s="171">
        <f t="shared" si="59"/>
        <v>10127.83</v>
      </c>
      <c r="R198" s="171">
        <v>10127.81</v>
      </c>
      <c r="S198" s="168">
        <f t="shared" si="43"/>
        <v>99.99980252433147</v>
      </c>
    </row>
    <row r="199" spans="1:19" ht="12.75" hidden="1">
      <c r="A199" s="13" t="s">
        <v>87</v>
      </c>
      <c r="B199" s="55"/>
      <c r="C199" s="75"/>
      <c r="D199" s="73"/>
      <c r="E199" s="73"/>
      <c r="F199" s="74">
        <f>C199+D199+E199</f>
        <v>0</v>
      </c>
      <c r="G199" s="75"/>
      <c r="H199" s="73"/>
      <c r="I199" s="74">
        <f>F199+G199+H199</f>
        <v>0</v>
      </c>
      <c r="J199" s="75"/>
      <c r="K199" s="73"/>
      <c r="L199" s="136">
        <f>I199+J199+K199</f>
        <v>0</v>
      </c>
      <c r="M199" s="75"/>
      <c r="N199" s="73"/>
      <c r="O199" s="74">
        <f>L199+M199+N199</f>
        <v>0</v>
      </c>
      <c r="P199" s="187"/>
      <c r="Q199" s="171">
        <f t="shared" si="59"/>
        <v>0</v>
      </c>
      <c r="R199" s="171"/>
      <c r="S199" s="168" t="e">
        <f t="shared" si="43"/>
        <v>#DIV/0!</v>
      </c>
    </row>
    <row r="200" spans="1:19" ht="12.75">
      <c r="A200" s="16" t="s">
        <v>99</v>
      </c>
      <c r="B200" s="58"/>
      <c r="C200" s="83"/>
      <c r="D200" s="84">
        <f>8444.5+10805.5</f>
        <v>19250</v>
      </c>
      <c r="E200" s="84"/>
      <c r="F200" s="121">
        <f>C200+D200+E200</f>
        <v>19250</v>
      </c>
      <c r="G200" s="83"/>
      <c r="H200" s="84"/>
      <c r="I200" s="121">
        <f>F200+G200+H200</f>
        <v>19250</v>
      </c>
      <c r="J200" s="83"/>
      <c r="K200" s="84"/>
      <c r="L200" s="150">
        <f>I200+J200+K200</f>
        <v>19250</v>
      </c>
      <c r="M200" s="83">
        <f>-149.75-8000</f>
        <v>-8149.75</v>
      </c>
      <c r="N200" s="84"/>
      <c r="O200" s="121">
        <f>L200+M200+N200</f>
        <v>11100.25</v>
      </c>
      <c r="P200" s="195">
        <f>-677.43</f>
        <v>-677.43</v>
      </c>
      <c r="Q200" s="207">
        <f t="shared" si="59"/>
        <v>10422.82</v>
      </c>
      <c r="R200" s="207">
        <v>10422.82</v>
      </c>
      <c r="S200" s="215">
        <f t="shared" si="43"/>
        <v>100</v>
      </c>
    </row>
    <row r="201" spans="1:19" ht="12.75">
      <c r="A201" s="14" t="s">
        <v>100</v>
      </c>
      <c r="B201" s="59"/>
      <c r="C201" s="76">
        <f aca="true" t="shared" si="69" ref="C201:O201">C202+C207</f>
        <v>30577.399999999998</v>
      </c>
      <c r="D201" s="77">
        <f t="shared" si="69"/>
        <v>4000</v>
      </c>
      <c r="E201" s="77">
        <f t="shared" si="69"/>
        <v>0</v>
      </c>
      <c r="F201" s="78">
        <f t="shared" si="69"/>
        <v>34577.4</v>
      </c>
      <c r="G201" s="76">
        <f t="shared" si="69"/>
        <v>1000</v>
      </c>
      <c r="H201" s="77">
        <f t="shared" si="69"/>
        <v>0</v>
      </c>
      <c r="I201" s="78">
        <f t="shared" si="69"/>
        <v>35577.4</v>
      </c>
      <c r="J201" s="76">
        <f t="shared" si="69"/>
        <v>608.25</v>
      </c>
      <c r="K201" s="77">
        <f t="shared" si="69"/>
        <v>0</v>
      </c>
      <c r="L201" s="139">
        <f t="shared" si="69"/>
        <v>36185.65</v>
      </c>
      <c r="M201" s="76">
        <f t="shared" si="69"/>
        <v>0</v>
      </c>
      <c r="N201" s="77">
        <f t="shared" si="69"/>
        <v>0</v>
      </c>
      <c r="O201" s="78">
        <f t="shared" si="69"/>
        <v>36185.65</v>
      </c>
      <c r="P201" s="191">
        <f>P202+P207</f>
        <v>1141.3999999999996</v>
      </c>
      <c r="Q201" s="175">
        <f>Q202+Q207</f>
        <v>37327.05</v>
      </c>
      <c r="R201" s="175">
        <f>R202+R207</f>
        <v>30893.11</v>
      </c>
      <c r="S201" s="165">
        <f t="shared" si="43"/>
        <v>82.76333114993014</v>
      </c>
    </row>
    <row r="202" spans="1:19" ht="12.75">
      <c r="A202" s="19" t="s">
        <v>64</v>
      </c>
      <c r="B202" s="59"/>
      <c r="C202" s="80">
        <f aca="true" t="shared" si="70" ref="C202:O202">SUM(C204:C206)</f>
        <v>28580.8</v>
      </c>
      <c r="D202" s="81">
        <f t="shared" si="70"/>
        <v>4000</v>
      </c>
      <c r="E202" s="81">
        <f t="shared" si="70"/>
        <v>0</v>
      </c>
      <c r="F202" s="82">
        <f t="shared" si="70"/>
        <v>32580.8</v>
      </c>
      <c r="G202" s="80">
        <f t="shared" si="70"/>
        <v>500</v>
      </c>
      <c r="H202" s="81">
        <f t="shared" si="70"/>
        <v>0</v>
      </c>
      <c r="I202" s="82">
        <f t="shared" si="70"/>
        <v>33080.8</v>
      </c>
      <c r="J202" s="80">
        <f t="shared" si="70"/>
        <v>308.25</v>
      </c>
      <c r="K202" s="81">
        <f t="shared" si="70"/>
        <v>0</v>
      </c>
      <c r="L202" s="140">
        <f t="shared" si="70"/>
        <v>33389.05</v>
      </c>
      <c r="M202" s="80">
        <f t="shared" si="70"/>
        <v>0</v>
      </c>
      <c r="N202" s="81">
        <f t="shared" si="70"/>
        <v>0</v>
      </c>
      <c r="O202" s="82">
        <f t="shared" si="70"/>
        <v>33389.05</v>
      </c>
      <c r="P202" s="193">
        <f>SUM(P204:P206)</f>
        <v>-3300</v>
      </c>
      <c r="Q202" s="176">
        <f>SUM(Q204:Q206)</f>
        <v>30089.05</v>
      </c>
      <c r="R202" s="176">
        <f>SUM(R204:R206)</f>
        <v>25267.45</v>
      </c>
      <c r="S202" s="214">
        <f t="shared" si="43"/>
        <v>83.97556586199964</v>
      </c>
    </row>
    <row r="203" spans="1:19" ht="12.75">
      <c r="A203" s="15" t="s">
        <v>35</v>
      </c>
      <c r="B203" s="55"/>
      <c r="C203" s="75"/>
      <c r="D203" s="73"/>
      <c r="E203" s="73"/>
      <c r="F203" s="72"/>
      <c r="G203" s="75"/>
      <c r="H203" s="73"/>
      <c r="I203" s="72"/>
      <c r="J203" s="75"/>
      <c r="K203" s="73"/>
      <c r="L203" s="138"/>
      <c r="M203" s="75"/>
      <c r="N203" s="73"/>
      <c r="O203" s="72"/>
      <c r="P203" s="187"/>
      <c r="Q203" s="171"/>
      <c r="R203" s="171"/>
      <c r="S203" s="168"/>
    </row>
    <row r="204" spans="1:19" ht="12.75">
      <c r="A204" s="13" t="s">
        <v>67</v>
      </c>
      <c r="B204" s="55"/>
      <c r="C204" s="75">
        <v>4580.8</v>
      </c>
      <c r="D204" s="73">
        <f>3000+1000</f>
        <v>4000</v>
      </c>
      <c r="E204" s="73"/>
      <c r="F204" s="74">
        <f>C204+D204+E204</f>
        <v>8580.8</v>
      </c>
      <c r="G204" s="75">
        <v>500</v>
      </c>
      <c r="H204" s="73"/>
      <c r="I204" s="74">
        <f>F204+G204+H204</f>
        <v>9080.8</v>
      </c>
      <c r="J204" s="75">
        <f>608.25-300</f>
        <v>308.25</v>
      </c>
      <c r="K204" s="73"/>
      <c r="L204" s="136">
        <f>I204+J204+K204</f>
        <v>9389.05</v>
      </c>
      <c r="M204" s="75"/>
      <c r="N204" s="73"/>
      <c r="O204" s="74">
        <f>L204+M204+N204</f>
        <v>9389.05</v>
      </c>
      <c r="P204" s="187">
        <f>-3300</f>
        <v>-3300</v>
      </c>
      <c r="Q204" s="171">
        <f t="shared" si="59"/>
        <v>6089.049999999999</v>
      </c>
      <c r="R204" s="171">
        <v>4928.25</v>
      </c>
      <c r="S204" s="168">
        <f aca="true" t="shared" si="71" ref="S204:S267">R204/Q204*100</f>
        <v>80.93627084684803</v>
      </c>
    </row>
    <row r="205" spans="1:19" ht="12.75" hidden="1">
      <c r="A205" s="13" t="s">
        <v>99</v>
      </c>
      <c r="B205" s="55" t="s">
        <v>248</v>
      </c>
      <c r="C205" s="75"/>
      <c r="D205" s="73"/>
      <c r="E205" s="73"/>
      <c r="F205" s="74">
        <f>C205+D205+E205</f>
        <v>0</v>
      </c>
      <c r="G205" s="75"/>
      <c r="H205" s="73"/>
      <c r="I205" s="74">
        <f>F205+G205+H205</f>
        <v>0</v>
      </c>
      <c r="J205" s="75"/>
      <c r="K205" s="73"/>
      <c r="L205" s="136"/>
      <c r="M205" s="75"/>
      <c r="N205" s="73"/>
      <c r="O205" s="74">
        <f>L205+M205+N205</f>
        <v>0</v>
      </c>
      <c r="P205" s="187"/>
      <c r="Q205" s="171">
        <f t="shared" si="59"/>
        <v>0</v>
      </c>
      <c r="R205" s="171"/>
      <c r="S205" s="168" t="e">
        <f t="shared" si="71"/>
        <v>#DIV/0!</v>
      </c>
    </row>
    <row r="206" spans="1:19" ht="12.75">
      <c r="A206" s="13" t="s">
        <v>101</v>
      </c>
      <c r="B206" s="55"/>
      <c r="C206" s="75">
        <v>24000</v>
      </c>
      <c r="D206" s="73"/>
      <c r="E206" s="73"/>
      <c r="F206" s="74">
        <f>C206+D206+E206</f>
        <v>24000</v>
      </c>
      <c r="G206" s="75"/>
      <c r="H206" s="73"/>
      <c r="I206" s="74">
        <f>F206+G206+H206</f>
        <v>24000</v>
      </c>
      <c r="J206" s="75"/>
      <c r="K206" s="73"/>
      <c r="L206" s="136">
        <f>I206+J206+K206</f>
        <v>24000</v>
      </c>
      <c r="M206" s="75"/>
      <c r="N206" s="73"/>
      <c r="O206" s="74">
        <f>L206+M206+N206</f>
        <v>24000</v>
      </c>
      <c r="P206" s="187"/>
      <c r="Q206" s="171">
        <f t="shared" si="59"/>
        <v>24000</v>
      </c>
      <c r="R206" s="171">
        <v>20339.2</v>
      </c>
      <c r="S206" s="168">
        <f t="shared" si="71"/>
        <v>84.74666666666667</v>
      </c>
    </row>
    <row r="207" spans="1:19" ht="12.75">
      <c r="A207" s="20" t="s">
        <v>70</v>
      </c>
      <c r="B207" s="59"/>
      <c r="C207" s="85">
        <f>C210+C209</f>
        <v>1996.6</v>
      </c>
      <c r="D207" s="86">
        <f>D210+D209</f>
        <v>0</v>
      </c>
      <c r="E207" s="86">
        <f>E210+E209</f>
        <v>0</v>
      </c>
      <c r="F207" s="87">
        <f aca="true" t="shared" si="72" ref="F207:N207">F210</f>
        <v>1996.6</v>
      </c>
      <c r="G207" s="85">
        <f t="shared" si="72"/>
        <v>500</v>
      </c>
      <c r="H207" s="86">
        <f t="shared" si="72"/>
        <v>0</v>
      </c>
      <c r="I207" s="87">
        <f t="shared" si="72"/>
        <v>2496.6</v>
      </c>
      <c r="J207" s="85">
        <f t="shared" si="72"/>
        <v>300</v>
      </c>
      <c r="K207" s="86">
        <f t="shared" si="72"/>
        <v>0</v>
      </c>
      <c r="L207" s="141">
        <f t="shared" si="72"/>
        <v>2796.6</v>
      </c>
      <c r="M207" s="85">
        <f t="shared" si="72"/>
        <v>0</v>
      </c>
      <c r="N207" s="86">
        <f t="shared" si="72"/>
        <v>0</v>
      </c>
      <c r="O207" s="87">
        <f>O210+O209</f>
        <v>2796.6</v>
      </c>
      <c r="P207" s="194">
        <f>P210+P209</f>
        <v>4441.4</v>
      </c>
      <c r="Q207" s="177">
        <f>Q210+Q209</f>
        <v>7238</v>
      </c>
      <c r="R207" s="177">
        <f>R210+R209</f>
        <v>5625.66</v>
      </c>
      <c r="S207" s="214">
        <f t="shared" si="71"/>
        <v>77.72395689416966</v>
      </c>
    </row>
    <row r="208" spans="1:19" ht="12.75">
      <c r="A208" s="11" t="s">
        <v>35</v>
      </c>
      <c r="B208" s="55"/>
      <c r="C208" s="76"/>
      <c r="D208" s="77"/>
      <c r="E208" s="77"/>
      <c r="F208" s="78"/>
      <c r="G208" s="76"/>
      <c r="H208" s="77"/>
      <c r="I208" s="78"/>
      <c r="J208" s="76"/>
      <c r="K208" s="77"/>
      <c r="L208" s="139"/>
      <c r="M208" s="76"/>
      <c r="N208" s="77"/>
      <c r="O208" s="78"/>
      <c r="P208" s="187"/>
      <c r="Q208" s="171"/>
      <c r="R208" s="171"/>
      <c r="S208" s="168"/>
    </row>
    <row r="209" spans="1:19" ht="12.75">
      <c r="A209" s="13" t="s">
        <v>219</v>
      </c>
      <c r="B209" s="55">
        <v>98861</v>
      </c>
      <c r="C209" s="75"/>
      <c r="D209" s="73"/>
      <c r="E209" s="73"/>
      <c r="F209" s="74">
        <f>C209+D209+E209</f>
        <v>0</v>
      </c>
      <c r="G209" s="76"/>
      <c r="H209" s="77"/>
      <c r="I209" s="74">
        <f>F209+G209+H209</f>
        <v>0</v>
      </c>
      <c r="J209" s="76"/>
      <c r="K209" s="77"/>
      <c r="L209" s="136"/>
      <c r="M209" s="76"/>
      <c r="N209" s="77"/>
      <c r="O209" s="74">
        <f>L209+M209+N209</f>
        <v>0</v>
      </c>
      <c r="P209" s="187">
        <f>1141.4</f>
        <v>1141.4</v>
      </c>
      <c r="Q209" s="171">
        <f t="shared" si="59"/>
        <v>1141.4</v>
      </c>
      <c r="R209" s="171">
        <v>0</v>
      </c>
      <c r="S209" s="168">
        <f t="shared" si="71"/>
        <v>0</v>
      </c>
    </row>
    <row r="210" spans="1:19" ht="12.75">
      <c r="A210" s="24" t="s">
        <v>71</v>
      </c>
      <c r="B210" s="58"/>
      <c r="C210" s="83">
        <v>1996.6</v>
      </c>
      <c r="D210" s="84"/>
      <c r="E210" s="84"/>
      <c r="F210" s="121">
        <f>C210+D210+E210</f>
        <v>1996.6</v>
      </c>
      <c r="G210" s="83">
        <v>500</v>
      </c>
      <c r="H210" s="84"/>
      <c r="I210" s="121">
        <f>F210+G210+H210</f>
        <v>2496.6</v>
      </c>
      <c r="J210" s="83">
        <f>300</f>
        <v>300</v>
      </c>
      <c r="K210" s="84"/>
      <c r="L210" s="150">
        <f>I210+J210+K210</f>
        <v>2796.6</v>
      </c>
      <c r="M210" s="83"/>
      <c r="N210" s="84"/>
      <c r="O210" s="121">
        <f>L210+M210+N210</f>
        <v>2796.6</v>
      </c>
      <c r="P210" s="195">
        <f>3300</f>
        <v>3300</v>
      </c>
      <c r="Q210" s="207">
        <f t="shared" si="59"/>
        <v>6096.6</v>
      </c>
      <c r="R210" s="207">
        <v>5625.66</v>
      </c>
      <c r="S210" s="215">
        <f t="shared" si="71"/>
        <v>92.2753665977758</v>
      </c>
    </row>
    <row r="211" spans="1:19" ht="12.75">
      <c r="A211" s="10" t="s">
        <v>228</v>
      </c>
      <c r="B211" s="59"/>
      <c r="C211" s="70">
        <f aca="true" t="shared" si="73" ref="C211:O211">C212+C239</f>
        <v>2925.7</v>
      </c>
      <c r="D211" s="71">
        <f t="shared" si="73"/>
        <v>62214.51000000001</v>
      </c>
      <c r="E211" s="71">
        <f t="shared" si="73"/>
        <v>0</v>
      </c>
      <c r="F211" s="72">
        <f t="shared" si="73"/>
        <v>65140.21000000001</v>
      </c>
      <c r="G211" s="70">
        <f t="shared" si="73"/>
        <v>7842.3499999999985</v>
      </c>
      <c r="H211" s="71">
        <f t="shared" si="73"/>
        <v>0</v>
      </c>
      <c r="I211" s="72">
        <f t="shared" si="73"/>
        <v>72982.56</v>
      </c>
      <c r="J211" s="70">
        <f t="shared" si="73"/>
        <v>1248.3999999999999</v>
      </c>
      <c r="K211" s="71">
        <f t="shared" si="73"/>
        <v>0</v>
      </c>
      <c r="L211" s="138">
        <f t="shared" si="73"/>
        <v>74230.96</v>
      </c>
      <c r="M211" s="70">
        <f t="shared" si="73"/>
        <v>7628.810000000001</v>
      </c>
      <c r="N211" s="71">
        <f t="shared" si="73"/>
        <v>-889</v>
      </c>
      <c r="O211" s="72">
        <f t="shared" si="73"/>
        <v>80970.77000000002</v>
      </c>
      <c r="P211" s="188">
        <f>P212+P239</f>
        <v>-4212.89</v>
      </c>
      <c r="Q211" s="172">
        <f>Q212+Q239</f>
        <v>76757.88</v>
      </c>
      <c r="R211" s="172">
        <f>R212+R239</f>
        <v>33970.05</v>
      </c>
      <c r="S211" s="165">
        <f t="shared" si="71"/>
        <v>44.2561076465374</v>
      </c>
    </row>
    <row r="212" spans="1:19" ht="12.75">
      <c r="A212" s="19" t="s">
        <v>64</v>
      </c>
      <c r="B212" s="59"/>
      <c r="C212" s="80">
        <f aca="true" t="shared" si="74" ref="C212:O212">SUM(C214:C238)</f>
        <v>2925.7</v>
      </c>
      <c r="D212" s="81">
        <f t="shared" si="74"/>
        <v>59241.12000000001</v>
      </c>
      <c r="E212" s="81">
        <f t="shared" si="74"/>
        <v>0</v>
      </c>
      <c r="F212" s="82">
        <f t="shared" si="74"/>
        <v>62166.82000000001</v>
      </c>
      <c r="G212" s="80">
        <f t="shared" si="74"/>
        <v>7683.489999999999</v>
      </c>
      <c r="H212" s="81">
        <f t="shared" si="74"/>
        <v>0</v>
      </c>
      <c r="I212" s="82">
        <f t="shared" si="74"/>
        <v>69850.31</v>
      </c>
      <c r="J212" s="80">
        <f t="shared" si="74"/>
        <v>1142.3899999999999</v>
      </c>
      <c r="K212" s="81">
        <f t="shared" si="74"/>
        <v>0</v>
      </c>
      <c r="L212" s="140">
        <f t="shared" si="74"/>
        <v>70992.70000000001</v>
      </c>
      <c r="M212" s="80">
        <f t="shared" si="74"/>
        <v>10513.77</v>
      </c>
      <c r="N212" s="81">
        <f t="shared" si="74"/>
        <v>-889</v>
      </c>
      <c r="O212" s="82">
        <f t="shared" si="74"/>
        <v>80617.47000000002</v>
      </c>
      <c r="P212" s="193">
        <f>SUM(P214:P238)</f>
        <v>-4196.56</v>
      </c>
      <c r="Q212" s="176">
        <f>SUM(Q214:Q238)</f>
        <v>76420.91</v>
      </c>
      <c r="R212" s="176">
        <f>SUM(R214:R238)</f>
        <v>33633.090000000004</v>
      </c>
      <c r="S212" s="217">
        <f t="shared" si="71"/>
        <v>44.0103238760177</v>
      </c>
    </row>
    <row r="213" spans="1:19" ht="12.75">
      <c r="A213" s="11" t="s">
        <v>35</v>
      </c>
      <c r="B213" s="55"/>
      <c r="C213" s="76"/>
      <c r="D213" s="77"/>
      <c r="E213" s="77"/>
      <c r="F213" s="78"/>
      <c r="G213" s="76"/>
      <c r="H213" s="77"/>
      <c r="I213" s="78"/>
      <c r="J213" s="76"/>
      <c r="K213" s="77"/>
      <c r="L213" s="139"/>
      <c r="M213" s="76"/>
      <c r="N213" s="77"/>
      <c r="O213" s="78"/>
      <c r="P213" s="187"/>
      <c r="Q213" s="171"/>
      <c r="R213" s="171"/>
      <c r="S213" s="168"/>
    </row>
    <row r="214" spans="1:19" ht="12.75">
      <c r="A214" s="13" t="s">
        <v>67</v>
      </c>
      <c r="B214" s="55"/>
      <c r="C214" s="75">
        <v>2925.7</v>
      </c>
      <c r="D214" s="73">
        <f>1840.36</f>
        <v>1840.36</v>
      </c>
      <c r="E214" s="73"/>
      <c r="F214" s="74">
        <f aca="true" t="shared" si="75" ref="F214:F238">C214+D214+E214</f>
        <v>4766.0599999999995</v>
      </c>
      <c r="G214" s="75">
        <f>781.38</f>
        <v>781.38</v>
      </c>
      <c r="H214" s="73"/>
      <c r="I214" s="74">
        <f>F214+G214+H214</f>
        <v>5547.44</v>
      </c>
      <c r="J214" s="89">
        <f>-141.3+26.5</f>
        <v>-114.80000000000001</v>
      </c>
      <c r="K214" s="73"/>
      <c r="L214" s="136">
        <f>I214+J214+K214</f>
        <v>5432.639999999999</v>
      </c>
      <c r="M214" s="89">
        <f>-100</f>
        <v>-100</v>
      </c>
      <c r="N214" s="73">
        <f>-889</f>
        <v>-889</v>
      </c>
      <c r="O214" s="74">
        <f>L214+M214+N214</f>
        <v>4443.639999999999</v>
      </c>
      <c r="P214" s="187">
        <f>-142</f>
        <v>-142</v>
      </c>
      <c r="Q214" s="171">
        <f t="shared" si="59"/>
        <v>4301.639999999999</v>
      </c>
      <c r="R214" s="171">
        <v>2125.53</v>
      </c>
      <c r="S214" s="168">
        <f t="shared" si="71"/>
        <v>49.41208469327979</v>
      </c>
    </row>
    <row r="215" spans="1:19" ht="12.75">
      <c r="A215" s="22" t="s">
        <v>385</v>
      </c>
      <c r="B215" s="55">
        <v>5100</v>
      </c>
      <c r="C215" s="75"/>
      <c r="D215" s="73">
        <f>22149.4</f>
        <v>22149.4</v>
      </c>
      <c r="E215" s="73"/>
      <c r="F215" s="74">
        <f t="shared" si="75"/>
        <v>22149.4</v>
      </c>
      <c r="G215" s="75">
        <f>87.67+379.94+95.42+319.72+1151.41+184.8</f>
        <v>2218.96</v>
      </c>
      <c r="H215" s="73"/>
      <c r="I215" s="74">
        <f aca="true" t="shared" si="76" ref="I215:I238">F215+G215+H215</f>
        <v>24368.36</v>
      </c>
      <c r="J215" s="75">
        <f>95.86</f>
        <v>95.86</v>
      </c>
      <c r="K215" s="73"/>
      <c r="L215" s="136">
        <f aca="true" t="shared" si="77" ref="L215:L238">I215+J215+K215</f>
        <v>24464.22</v>
      </c>
      <c r="M215" s="75">
        <f>1026.37</f>
        <v>1026.37</v>
      </c>
      <c r="N215" s="73"/>
      <c r="O215" s="74">
        <f aca="true" t="shared" si="78" ref="O215:O238">L215+M215+N215</f>
        <v>25490.59</v>
      </c>
      <c r="P215" s="187"/>
      <c r="Q215" s="171">
        <f t="shared" si="59"/>
        <v>25490.59</v>
      </c>
      <c r="R215" s="171">
        <v>5584.6</v>
      </c>
      <c r="S215" s="168">
        <f t="shared" si="71"/>
        <v>21.90847681438523</v>
      </c>
    </row>
    <row r="216" spans="1:19" ht="12.75" hidden="1">
      <c r="A216" s="22" t="s">
        <v>173</v>
      </c>
      <c r="B216" s="55"/>
      <c r="C216" s="75"/>
      <c r="D216" s="73"/>
      <c r="E216" s="73"/>
      <c r="F216" s="74">
        <f t="shared" si="75"/>
        <v>0</v>
      </c>
      <c r="G216" s="75"/>
      <c r="H216" s="73"/>
      <c r="I216" s="74">
        <f t="shared" si="76"/>
        <v>0</v>
      </c>
      <c r="J216" s="75"/>
      <c r="K216" s="73"/>
      <c r="L216" s="136">
        <f t="shared" si="77"/>
        <v>0</v>
      </c>
      <c r="M216" s="75"/>
      <c r="N216" s="73"/>
      <c r="O216" s="74">
        <f t="shared" si="78"/>
        <v>0</v>
      </c>
      <c r="P216" s="187"/>
      <c r="Q216" s="171">
        <f t="shared" si="59"/>
        <v>0</v>
      </c>
      <c r="R216" s="171"/>
      <c r="S216" s="168" t="e">
        <f t="shared" si="71"/>
        <v>#DIV/0!</v>
      </c>
    </row>
    <row r="217" spans="1:19" ht="12.75" hidden="1">
      <c r="A217" s="22" t="s">
        <v>288</v>
      </c>
      <c r="B217" s="55">
        <v>5200</v>
      </c>
      <c r="C217" s="75"/>
      <c r="D217" s="73">
        <f>51.37</f>
        <v>51.37</v>
      </c>
      <c r="E217" s="73"/>
      <c r="F217" s="74">
        <f t="shared" si="75"/>
        <v>51.37</v>
      </c>
      <c r="G217" s="75"/>
      <c r="H217" s="73"/>
      <c r="I217" s="74">
        <f t="shared" si="76"/>
        <v>51.37</v>
      </c>
      <c r="J217" s="75"/>
      <c r="K217" s="73"/>
      <c r="L217" s="136">
        <f t="shared" si="77"/>
        <v>51.37</v>
      </c>
      <c r="M217" s="75"/>
      <c r="N217" s="73"/>
      <c r="O217" s="74">
        <f t="shared" si="78"/>
        <v>51.37</v>
      </c>
      <c r="P217" s="187"/>
      <c r="Q217" s="171"/>
      <c r="R217" s="171"/>
      <c r="S217" s="168" t="e">
        <f t="shared" si="71"/>
        <v>#DIV/0!</v>
      </c>
    </row>
    <row r="218" spans="1:19" ht="12.75">
      <c r="A218" s="22" t="s">
        <v>174</v>
      </c>
      <c r="B218" s="55"/>
      <c r="C218" s="75"/>
      <c r="D218" s="73"/>
      <c r="E218" s="73"/>
      <c r="F218" s="74">
        <f t="shared" si="75"/>
        <v>0</v>
      </c>
      <c r="G218" s="75"/>
      <c r="H218" s="73"/>
      <c r="I218" s="74">
        <f t="shared" si="76"/>
        <v>0</v>
      </c>
      <c r="J218" s="75">
        <f>8.74+148.5</f>
        <v>157.24</v>
      </c>
      <c r="K218" s="73"/>
      <c r="L218" s="136">
        <f t="shared" si="77"/>
        <v>157.24</v>
      </c>
      <c r="M218" s="75">
        <f>-0.72</f>
        <v>-0.72</v>
      </c>
      <c r="N218" s="73"/>
      <c r="O218" s="74">
        <f t="shared" si="78"/>
        <v>156.52</v>
      </c>
      <c r="P218" s="187">
        <f>12.38+209.49</f>
        <v>221.87</v>
      </c>
      <c r="Q218" s="171">
        <f>O218+P218+51.37</f>
        <v>429.76</v>
      </c>
      <c r="R218" s="171">
        <v>207.89</v>
      </c>
      <c r="S218" s="168">
        <f t="shared" si="71"/>
        <v>48.37351079672375</v>
      </c>
    </row>
    <row r="219" spans="1:19" ht="12.75" hidden="1">
      <c r="A219" s="13" t="s">
        <v>289</v>
      </c>
      <c r="B219" s="55">
        <v>2400</v>
      </c>
      <c r="C219" s="75"/>
      <c r="D219" s="73">
        <f>481.38</f>
        <v>481.38</v>
      </c>
      <c r="E219" s="73"/>
      <c r="F219" s="74">
        <f t="shared" si="75"/>
        <v>481.38</v>
      </c>
      <c r="G219" s="75"/>
      <c r="H219" s="73"/>
      <c r="I219" s="74">
        <f t="shared" si="76"/>
        <v>481.38</v>
      </c>
      <c r="J219" s="75"/>
      <c r="K219" s="73"/>
      <c r="L219" s="136">
        <f t="shared" si="77"/>
        <v>481.38</v>
      </c>
      <c r="M219" s="75"/>
      <c r="N219" s="73"/>
      <c r="O219" s="74">
        <f t="shared" si="78"/>
        <v>481.38</v>
      </c>
      <c r="P219" s="187"/>
      <c r="Q219" s="171"/>
      <c r="R219" s="171"/>
      <c r="S219" s="168" t="e">
        <f t="shared" si="71"/>
        <v>#DIV/0!</v>
      </c>
    </row>
    <row r="220" spans="1:19" ht="12.75">
      <c r="A220" s="13" t="s">
        <v>359</v>
      </c>
      <c r="B220" s="55"/>
      <c r="C220" s="75"/>
      <c r="D220" s="73"/>
      <c r="E220" s="73"/>
      <c r="F220" s="74">
        <f t="shared" si="75"/>
        <v>0</v>
      </c>
      <c r="G220" s="75"/>
      <c r="H220" s="73"/>
      <c r="I220" s="74">
        <f t="shared" si="76"/>
        <v>0</v>
      </c>
      <c r="J220" s="75"/>
      <c r="K220" s="73"/>
      <c r="L220" s="136">
        <f t="shared" si="77"/>
        <v>0</v>
      </c>
      <c r="M220" s="75">
        <f>0.35+539.9</f>
        <v>540.25</v>
      </c>
      <c r="N220" s="73"/>
      <c r="O220" s="74">
        <f t="shared" si="78"/>
        <v>540.25</v>
      </c>
      <c r="P220" s="187"/>
      <c r="Q220" s="171">
        <f>O220+P220+481.38</f>
        <v>1021.63</v>
      </c>
      <c r="R220" s="171">
        <v>517</v>
      </c>
      <c r="S220" s="168">
        <f t="shared" si="71"/>
        <v>50.605405087947695</v>
      </c>
    </row>
    <row r="221" spans="1:19" ht="12.75" hidden="1">
      <c r="A221" s="22" t="s">
        <v>290</v>
      </c>
      <c r="B221" s="55">
        <v>3800</v>
      </c>
      <c r="C221" s="75"/>
      <c r="D221" s="73">
        <f>6285.83</f>
        <v>6285.83</v>
      </c>
      <c r="E221" s="73"/>
      <c r="F221" s="74">
        <f t="shared" si="75"/>
        <v>6285.83</v>
      </c>
      <c r="G221" s="75"/>
      <c r="H221" s="73"/>
      <c r="I221" s="74">
        <f t="shared" si="76"/>
        <v>6285.83</v>
      </c>
      <c r="J221" s="75"/>
      <c r="K221" s="73"/>
      <c r="L221" s="136">
        <f t="shared" si="77"/>
        <v>6285.83</v>
      </c>
      <c r="M221" s="75">
        <f>7164.24</f>
        <v>7164.24</v>
      </c>
      <c r="N221" s="73"/>
      <c r="O221" s="74">
        <f t="shared" si="78"/>
        <v>13450.07</v>
      </c>
      <c r="P221" s="189">
        <f>-2892.01-330.73+233.92</f>
        <v>-2988.82</v>
      </c>
      <c r="Q221" s="171"/>
      <c r="R221" s="173"/>
      <c r="S221" s="168" t="e">
        <f t="shared" si="71"/>
        <v>#DIV/0!</v>
      </c>
    </row>
    <row r="222" spans="1:19" ht="12.75">
      <c r="A222" s="22" t="s">
        <v>331</v>
      </c>
      <c r="B222" s="55"/>
      <c r="C222" s="75"/>
      <c r="D222" s="73"/>
      <c r="E222" s="73"/>
      <c r="F222" s="74">
        <f t="shared" si="75"/>
        <v>0</v>
      </c>
      <c r="G222" s="75">
        <f>1287.61</f>
        <v>1287.61</v>
      </c>
      <c r="H222" s="73"/>
      <c r="I222" s="74">
        <f t="shared" si="76"/>
        <v>1287.61</v>
      </c>
      <c r="J222" s="75"/>
      <c r="K222" s="73"/>
      <c r="L222" s="136">
        <f t="shared" si="77"/>
        <v>1287.61</v>
      </c>
      <c r="M222" s="75"/>
      <c r="N222" s="73"/>
      <c r="O222" s="74">
        <f t="shared" si="78"/>
        <v>1287.61</v>
      </c>
      <c r="P222" s="187">
        <f>-1287.61</f>
        <v>-1287.61</v>
      </c>
      <c r="Q222" s="171">
        <f>O222+P222+10461.25</f>
        <v>10461.25</v>
      </c>
      <c r="R222" s="171">
        <v>10429.87</v>
      </c>
      <c r="S222" s="168">
        <f t="shared" si="71"/>
        <v>99.70003584657667</v>
      </c>
    </row>
    <row r="223" spans="1:19" ht="12.75">
      <c r="A223" s="22" t="s">
        <v>249</v>
      </c>
      <c r="B223" s="55">
        <v>3500</v>
      </c>
      <c r="C223" s="75"/>
      <c r="D223" s="73">
        <f>3488.71</f>
        <v>3488.71</v>
      </c>
      <c r="E223" s="73"/>
      <c r="F223" s="74">
        <f t="shared" si="75"/>
        <v>3488.71</v>
      </c>
      <c r="G223" s="75"/>
      <c r="H223" s="73"/>
      <c r="I223" s="74">
        <f t="shared" si="76"/>
        <v>3488.71</v>
      </c>
      <c r="J223" s="75"/>
      <c r="K223" s="73"/>
      <c r="L223" s="136">
        <f t="shared" si="77"/>
        <v>3488.71</v>
      </c>
      <c r="M223" s="75"/>
      <c r="N223" s="73"/>
      <c r="O223" s="74">
        <f t="shared" si="78"/>
        <v>3488.71</v>
      </c>
      <c r="P223" s="187"/>
      <c r="Q223" s="171">
        <f t="shared" si="59"/>
        <v>3488.71</v>
      </c>
      <c r="R223" s="171">
        <v>3393.72</v>
      </c>
      <c r="S223" s="168">
        <f t="shared" si="71"/>
        <v>97.27721708023881</v>
      </c>
    </row>
    <row r="224" spans="1:19" ht="12.75" hidden="1">
      <c r="A224" s="22" t="s">
        <v>249</v>
      </c>
      <c r="B224" s="55"/>
      <c r="C224" s="75"/>
      <c r="D224" s="73"/>
      <c r="E224" s="73"/>
      <c r="F224" s="74">
        <f t="shared" si="75"/>
        <v>0</v>
      </c>
      <c r="G224" s="75"/>
      <c r="H224" s="73"/>
      <c r="I224" s="74">
        <f t="shared" si="76"/>
        <v>0</v>
      </c>
      <c r="J224" s="75"/>
      <c r="K224" s="73"/>
      <c r="L224" s="136">
        <f t="shared" si="77"/>
        <v>0</v>
      </c>
      <c r="M224" s="75"/>
      <c r="N224" s="73"/>
      <c r="O224" s="74">
        <f t="shared" si="78"/>
        <v>0</v>
      </c>
      <c r="P224" s="187"/>
      <c r="Q224" s="171">
        <f t="shared" si="59"/>
        <v>0</v>
      </c>
      <c r="R224" s="171"/>
      <c r="S224" s="168" t="e">
        <f t="shared" si="71"/>
        <v>#DIV/0!</v>
      </c>
    </row>
    <row r="225" spans="1:19" ht="12.75" hidden="1">
      <c r="A225" s="22" t="s">
        <v>291</v>
      </c>
      <c r="B225" s="55">
        <v>1500</v>
      </c>
      <c r="C225" s="75"/>
      <c r="D225" s="73">
        <f>71.3</f>
        <v>71.3</v>
      </c>
      <c r="E225" s="73"/>
      <c r="F225" s="74">
        <f t="shared" si="75"/>
        <v>71.3</v>
      </c>
      <c r="G225" s="75"/>
      <c r="H225" s="73"/>
      <c r="I225" s="74">
        <f t="shared" si="76"/>
        <v>71.3</v>
      </c>
      <c r="J225" s="75"/>
      <c r="K225" s="73"/>
      <c r="L225" s="136">
        <f t="shared" si="77"/>
        <v>71.3</v>
      </c>
      <c r="M225" s="75"/>
      <c r="N225" s="73"/>
      <c r="O225" s="74">
        <f t="shared" si="78"/>
        <v>71.3</v>
      </c>
      <c r="P225" s="187"/>
      <c r="Q225" s="171"/>
      <c r="R225" s="171"/>
      <c r="S225" s="168" t="e">
        <f t="shared" si="71"/>
        <v>#DIV/0!</v>
      </c>
    </row>
    <row r="226" spans="1:19" ht="12.75">
      <c r="A226" s="22" t="s">
        <v>189</v>
      </c>
      <c r="B226" s="55"/>
      <c r="C226" s="75"/>
      <c r="D226" s="73">
        <v>60.01</v>
      </c>
      <c r="E226" s="73"/>
      <c r="F226" s="74">
        <f t="shared" si="75"/>
        <v>60.01</v>
      </c>
      <c r="G226" s="75"/>
      <c r="H226" s="73"/>
      <c r="I226" s="74">
        <f t="shared" si="76"/>
        <v>60.01</v>
      </c>
      <c r="J226" s="75">
        <f>78.9</f>
        <v>78.9</v>
      </c>
      <c r="K226" s="73"/>
      <c r="L226" s="136">
        <f t="shared" si="77"/>
        <v>138.91</v>
      </c>
      <c r="M226" s="75"/>
      <c r="N226" s="73"/>
      <c r="O226" s="74">
        <f t="shared" si="78"/>
        <v>138.91</v>
      </c>
      <c r="P226" s="187"/>
      <c r="Q226" s="171">
        <f>O226+P226+71.3</f>
        <v>210.20999999999998</v>
      </c>
      <c r="R226" s="171">
        <v>207.8</v>
      </c>
      <c r="S226" s="168">
        <f t="shared" si="71"/>
        <v>98.85352742495601</v>
      </c>
    </row>
    <row r="227" spans="1:19" ht="12.75">
      <c r="A227" s="22" t="s">
        <v>190</v>
      </c>
      <c r="B227" s="55">
        <v>3600</v>
      </c>
      <c r="C227" s="75"/>
      <c r="D227" s="73">
        <f>152.39</f>
        <v>152.39</v>
      </c>
      <c r="E227" s="73"/>
      <c r="F227" s="74">
        <f t="shared" si="75"/>
        <v>152.39</v>
      </c>
      <c r="G227" s="75"/>
      <c r="H227" s="73"/>
      <c r="I227" s="74">
        <f t="shared" si="76"/>
        <v>152.39</v>
      </c>
      <c r="J227" s="75"/>
      <c r="K227" s="73"/>
      <c r="L227" s="136">
        <f t="shared" si="77"/>
        <v>152.39</v>
      </c>
      <c r="M227" s="75"/>
      <c r="N227" s="73"/>
      <c r="O227" s="74">
        <f t="shared" si="78"/>
        <v>152.39</v>
      </c>
      <c r="P227" s="187"/>
      <c r="Q227" s="171">
        <f aca="true" t="shared" si="79" ref="Q227:Q238">O227+P227</f>
        <v>152.39</v>
      </c>
      <c r="R227" s="171">
        <v>152.39</v>
      </c>
      <c r="S227" s="168">
        <f t="shared" si="71"/>
        <v>100</v>
      </c>
    </row>
    <row r="228" spans="1:19" ht="12.75" hidden="1">
      <c r="A228" s="22" t="s">
        <v>190</v>
      </c>
      <c r="B228" s="55"/>
      <c r="C228" s="75"/>
      <c r="D228" s="73"/>
      <c r="E228" s="73"/>
      <c r="F228" s="74">
        <f t="shared" si="75"/>
        <v>0</v>
      </c>
      <c r="G228" s="75"/>
      <c r="H228" s="73"/>
      <c r="I228" s="74">
        <f t="shared" si="76"/>
        <v>0</v>
      </c>
      <c r="J228" s="75"/>
      <c r="K228" s="73"/>
      <c r="L228" s="136">
        <f t="shared" si="77"/>
        <v>0</v>
      </c>
      <c r="M228" s="75"/>
      <c r="N228" s="73"/>
      <c r="O228" s="74">
        <f t="shared" si="78"/>
        <v>0</v>
      </c>
      <c r="P228" s="187"/>
      <c r="Q228" s="171">
        <f t="shared" si="79"/>
        <v>0</v>
      </c>
      <c r="R228" s="171"/>
      <c r="S228" s="168" t="e">
        <f t="shared" si="71"/>
        <v>#DIV/0!</v>
      </c>
    </row>
    <row r="229" spans="1:19" ht="12.75" hidden="1">
      <c r="A229" s="13" t="s">
        <v>292</v>
      </c>
      <c r="B229" s="55">
        <v>4000</v>
      </c>
      <c r="C229" s="75"/>
      <c r="D229" s="73"/>
      <c r="E229" s="73"/>
      <c r="F229" s="74">
        <f t="shared" si="75"/>
        <v>0</v>
      </c>
      <c r="G229" s="75"/>
      <c r="H229" s="73"/>
      <c r="I229" s="74">
        <f t="shared" si="76"/>
        <v>0</v>
      </c>
      <c r="J229" s="75"/>
      <c r="K229" s="73"/>
      <c r="L229" s="136">
        <f t="shared" si="77"/>
        <v>0</v>
      </c>
      <c r="M229" s="75"/>
      <c r="N229" s="73"/>
      <c r="O229" s="74">
        <f t="shared" si="78"/>
        <v>0</v>
      </c>
      <c r="P229" s="187"/>
      <c r="Q229" s="171">
        <f t="shared" si="79"/>
        <v>0</v>
      </c>
      <c r="R229" s="171"/>
      <c r="S229" s="168" t="e">
        <f t="shared" si="71"/>
        <v>#DIV/0!</v>
      </c>
    </row>
    <row r="230" spans="1:19" ht="12.75" hidden="1">
      <c r="A230" s="13" t="s">
        <v>182</v>
      </c>
      <c r="B230" s="55"/>
      <c r="C230" s="75"/>
      <c r="D230" s="73"/>
      <c r="E230" s="73"/>
      <c r="F230" s="74">
        <f t="shared" si="75"/>
        <v>0</v>
      </c>
      <c r="G230" s="75"/>
      <c r="H230" s="73"/>
      <c r="I230" s="74">
        <f t="shared" si="76"/>
        <v>0</v>
      </c>
      <c r="J230" s="75"/>
      <c r="K230" s="73"/>
      <c r="L230" s="136">
        <f t="shared" si="77"/>
        <v>0</v>
      </c>
      <c r="M230" s="75"/>
      <c r="N230" s="73"/>
      <c r="O230" s="74">
        <f t="shared" si="78"/>
        <v>0</v>
      </c>
      <c r="P230" s="187"/>
      <c r="Q230" s="171">
        <f t="shared" si="79"/>
        <v>0</v>
      </c>
      <c r="R230" s="171"/>
      <c r="S230" s="168" t="e">
        <f t="shared" si="71"/>
        <v>#DIV/0!</v>
      </c>
    </row>
    <row r="231" spans="1:19" ht="12.75">
      <c r="A231" s="13" t="s">
        <v>386</v>
      </c>
      <c r="B231" s="55">
        <v>2100</v>
      </c>
      <c r="C231" s="75"/>
      <c r="D231" s="73">
        <f>834.66+9051.52</f>
        <v>9886.18</v>
      </c>
      <c r="E231" s="73"/>
      <c r="F231" s="74">
        <f t="shared" si="75"/>
        <v>9886.18</v>
      </c>
      <c r="G231" s="75">
        <f>78.45+366.98+487.36+63.79+75.77+454.46+44.22+223.58+205.49+272.53+105.43+54.33+74.96</f>
        <v>2507.35</v>
      </c>
      <c r="H231" s="73"/>
      <c r="I231" s="74">
        <f t="shared" si="76"/>
        <v>12393.53</v>
      </c>
      <c r="J231" s="75">
        <f>320.68</f>
        <v>320.68</v>
      </c>
      <c r="K231" s="73"/>
      <c r="L231" s="136">
        <f t="shared" si="77"/>
        <v>12714.210000000001</v>
      </c>
      <c r="M231" s="75">
        <f>-74.96+1699.24</f>
        <v>1624.28</v>
      </c>
      <c r="N231" s="73"/>
      <c r="O231" s="74">
        <f t="shared" si="78"/>
        <v>14338.490000000002</v>
      </c>
      <c r="P231" s="187"/>
      <c r="Q231" s="171">
        <f t="shared" si="79"/>
        <v>14338.490000000002</v>
      </c>
      <c r="R231" s="171">
        <v>1935.36</v>
      </c>
      <c r="S231" s="168">
        <f t="shared" si="71"/>
        <v>13.497655610876736</v>
      </c>
    </row>
    <row r="232" spans="1:19" ht="12.75">
      <c r="A232" s="22" t="s">
        <v>387</v>
      </c>
      <c r="B232" s="55">
        <v>4100</v>
      </c>
      <c r="C232" s="75"/>
      <c r="D232" s="73">
        <f>5565.72</f>
        <v>5565.72</v>
      </c>
      <c r="E232" s="73"/>
      <c r="F232" s="74">
        <f t="shared" si="75"/>
        <v>5565.72</v>
      </c>
      <c r="G232" s="75"/>
      <c r="H232" s="73"/>
      <c r="I232" s="74">
        <f t="shared" si="76"/>
        <v>5565.72</v>
      </c>
      <c r="J232" s="75"/>
      <c r="K232" s="73"/>
      <c r="L232" s="136">
        <f t="shared" si="77"/>
        <v>5565.72</v>
      </c>
      <c r="M232" s="75"/>
      <c r="N232" s="73"/>
      <c r="O232" s="74">
        <f t="shared" si="78"/>
        <v>5565.72</v>
      </c>
      <c r="P232" s="187"/>
      <c r="Q232" s="171">
        <f t="shared" si="79"/>
        <v>5565.72</v>
      </c>
      <c r="R232" s="171">
        <v>5537.55</v>
      </c>
      <c r="S232" s="168">
        <f t="shared" si="71"/>
        <v>99.49386602272482</v>
      </c>
    </row>
    <row r="233" spans="1:19" ht="12.75" hidden="1">
      <c r="A233" s="22" t="s">
        <v>186</v>
      </c>
      <c r="B233" s="55"/>
      <c r="C233" s="75"/>
      <c r="D233" s="73"/>
      <c r="E233" s="73"/>
      <c r="F233" s="74">
        <f t="shared" si="75"/>
        <v>0</v>
      </c>
      <c r="G233" s="75"/>
      <c r="H233" s="73"/>
      <c r="I233" s="74">
        <f t="shared" si="76"/>
        <v>0</v>
      </c>
      <c r="J233" s="75"/>
      <c r="K233" s="73"/>
      <c r="L233" s="136">
        <f t="shared" si="77"/>
        <v>0</v>
      </c>
      <c r="M233" s="75"/>
      <c r="N233" s="73"/>
      <c r="O233" s="74">
        <f t="shared" si="78"/>
        <v>0</v>
      </c>
      <c r="P233" s="187"/>
      <c r="Q233" s="171">
        <f t="shared" si="79"/>
        <v>0</v>
      </c>
      <c r="R233" s="171"/>
      <c r="S233" s="168" t="e">
        <f t="shared" si="71"/>
        <v>#DIV/0!</v>
      </c>
    </row>
    <row r="234" spans="1:19" ht="12.75">
      <c r="A234" s="22" t="s">
        <v>388</v>
      </c>
      <c r="B234" s="55">
        <v>2200</v>
      </c>
      <c r="C234" s="75"/>
      <c r="D234" s="73">
        <f>1823.68</f>
        <v>1823.68</v>
      </c>
      <c r="E234" s="73"/>
      <c r="F234" s="74">
        <f t="shared" si="75"/>
        <v>1823.68</v>
      </c>
      <c r="G234" s="75"/>
      <c r="H234" s="73"/>
      <c r="I234" s="74">
        <f t="shared" si="76"/>
        <v>1823.68</v>
      </c>
      <c r="J234" s="75"/>
      <c r="K234" s="73"/>
      <c r="L234" s="136">
        <f t="shared" si="77"/>
        <v>1823.68</v>
      </c>
      <c r="M234" s="75">
        <f>134.74</f>
        <v>134.74</v>
      </c>
      <c r="N234" s="73"/>
      <c r="O234" s="74">
        <f t="shared" si="78"/>
        <v>1958.42</v>
      </c>
      <c r="P234" s="187"/>
      <c r="Q234" s="171">
        <f>O234+P234</f>
        <v>1958.42</v>
      </c>
      <c r="R234" s="171">
        <v>925.31</v>
      </c>
      <c r="S234" s="168">
        <f t="shared" si="71"/>
        <v>47.2477813747817</v>
      </c>
    </row>
    <row r="235" spans="1:19" ht="12.75" hidden="1">
      <c r="A235" s="22" t="s">
        <v>294</v>
      </c>
      <c r="B235" s="55">
        <v>4200</v>
      </c>
      <c r="C235" s="75"/>
      <c r="D235" s="73"/>
      <c r="E235" s="73"/>
      <c r="F235" s="74">
        <f t="shared" si="75"/>
        <v>0</v>
      </c>
      <c r="G235" s="75"/>
      <c r="H235" s="73"/>
      <c r="I235" s="74">
        <f t="shared" si="76"/>
        <v>0</v>
      </c>
      <c r="J235" s="75"/>
      <c r="K235" s="73"/>
      <c r="L235" s="136">
        <f t="shared" si="77"/>
        <v>0</v>
      </c>
      <c r="M235" s="75"/>
      <c r="N235" s="73"/>
      <c r="O235" s="74">
        <f t="shared" si="78"/>
        <v>0</v>
      </c>
      <c r="P235" s="187"/>
      <c r="Q235" s="171">
        <f t="shared" si="79"/>
        <v>0</v>
      </c>
      <c r="R235" s="171"/>
      <c r="S235" s="168" t="e">
        <f t="shared" si="71"/>
        <v>#DIV/0!</v>
      </c>
    </row>
    <row r="236" spans="1:19" ht="12.75" hidden="1">
      <c r="A236" s="22" t="s">
        <v>181</v>
      </c>
      <c r="B236" s="55"/>
      <c r="C236" s="75"/>
      <c r="D236" s="73"/>
      <c r="E236" s="73"/>
      <c r="F236" s="74">
        <f t="shared" si="75"/>
        <v>0</v>
      </c>
      <c r="G236" s="75"/>
      <c r="H236" s="73"/>
      <c r="I236" s="74">
        <f t="shared" si="76"/>
        <v>0</v>
      </c>
      <c r="J236" s="75"/>
      <c r="K236" s="73"/>
      <c r="L236" s="136">
        <f t="shared" si="77"/>
        <v>0</v>
      </c>
      <c r="M236" s="75"/>
      <c r="N236" s="73"/>
      <c r="O236" s="74">
        <f t="shared" si="78"/>
        <v>0</v>
      </c>
      <c r="P236" s="187"/>
      <c r="Q236" s="171">
        <f t="shared" si="79"/>
        <v>0</v>
      </c>
      <c r="R236" s="171"/>
      <c r="S236" s="168" t="e">
        <f t="shared" si="71"/>
        <v>#DIV/0!</v>
      </c>
    </row>
    <row r="237" spans="1:19" ht="12.75">
      <c r="A237" s="22" t="s">
        <v>389</v>
      </c>
      <c r="B237" s="55">
        <v>2300</v>
      </c>
      <c r="C237" s="75"/>
      <c r="D237" s="73">
        <f>7264.18</f>
        <v>7264.18</v>
      </c>
      <c r="E237" s="73"/>
      <c r="F237" s="74">
        <f t="shared" si="75"/>
        <v>7264.18</v>
      </c>
      <c r="G237" s="75">
        <f>33.16+13.12+530.74+166.81+144.36</f>
        <v>888.1899999999999</v>
      </c>
      <c r="H237" s="73"/>
      <c r="I237" s="74">
        <f t="shared" si="76"/>
        <v>8152.37</v>
      </c>
      <c r="J237" s="75">
        <f>604.51</f>
        <v>604.51</v>
      </c>
      <c r="K237" s="73"/>
      <c r="L237" s="136">
        <f t="shared" si="77"/>
        <v>8756.88</v>
      </c>
      <c r="M237" s="75">
        <f>124.61</f>
        <v>124.61</v>
      </c>
      <c r="N237" s="73"/>
      <c r="O237" s="74">
        <f t="shared" si="78"/>
        <v>8881.49</v>
      </c>
      <c r="P237" s="187"/>
      <c r="Q237" s="171">
        <f t="shared" si="79"/>
        <v>8881.49</v>
      </c>
      <c r="R237" s="171">
        <v>2607.34</v>
      </c>
      <c r="S237" s="168">
        <f t="shared" si="71"/>
        <v>29.357011042066144</v>
      </c>
    </row>
    <row r="238" spans="1:19" ht="12.75">
      <c r="A238" s="13" t="s">
        <v>99</v>
      </c>
      <c r="B238" s="55"/>
      <c r="C238" s="75"/>
      <c r="D238" s="73">
        <f>120.61</f>
        <v>120.61</v>
      </c>
      <c r="E238" s="73"/>
      <c r="F238" s="74">
        <f t="shared" si="75"/>
        <v>120.61</v>
      </c>
      <c r="G238" s="75"/>
      <c r="H238" s="73"/>
      <c r="I238" s="74">
        <f t="shared" si="76"/>
        <v>120.61</v>
      </c>
      <c r="J238" s="75"/>
      <c r="K238" s="73"/>
      <c r="L238" s="136">
        <f t="shared" si="77"/>
        <v>120.61</v>
      </c>
      <c r="M238" s="75"/>
      <c r="N238" s="73"/>
      <c r="O238" s="74">
        <f t="shared" si="78"/>
        <v>120.61</v>
      </c>
      <c r="P238" s="187"/>
      <c r="Q238" s="171">
        <f t="shared" si="79"/>
        <v>120.61</v>
      </c>
      <c r="R238" s="171">
        <v>8.73</v>
      </c>
      <c r="S238" s="168">
        <f t="shared" si="71"/>
        <v>7.238205787248156</v>
      </c>
    </row>
    <row r="239" spans="1:19" ht="12.75">
      <c r="A239" s="20" t="s">
        <v>70</v>
      </c>
      <c r="B239" s="59"/>
      <c r="C239" s="85">
        <f aca="true" t="shared" si="80" ref="C239:Q239">SUM(C241:C252)</f>
        <v>0</v>
      </c>
      <c r="D239" s="86">
        <f t="shared" si="80"/>
        <v>2973.39</v>
      </c>
      <c r="E239" s="86">
        <f t="shared" si="80"/>
        <v>0</v>
      </c>
      <c r="F239" s="87">
        <f t="shared" si="80"/>
        <v>2973.39</v>
      </c>
      <c r="G239" s="85">
        <f t="shared" si="80"/>
        <v>158.85999999999999</v>
      </c>
      <c r="H239" s="86">
        <f t="shared" si="80"/>
        <v>0</v>
      </c>
      <c r="I239" s="87">
        <f t="shared" si="80"/>
        <v>3132.2500000000005</v>
      </c>
      <c r="J239" s="85">
        <f t="shared" si="80"/>
        <v>106.01</v>
      </c>
      <c r="K239" s="86">
        <f t="shared" si="80"/>
        <v>0</v>
      </c>
      <c r="L239" s="141">
        <f t="shared" si="80"/>
        <v>3238.2599999999998</v>
      </c>
      <c r="M239" s="85">
        <f t="shared" si="80"/>
        <v>-2884.9599999999996</v>
      </c>
      <c r="N239" s="86">
        <f t="shared" si="80"/>
        <v>0</v>
      </c>
      <c r="O239" s="87">
        <f t="shared" si="80"/>
        <v>353.3000000000001</v>
      </c>
      <c r="P239" s="194">
        <f t="shared" si="80"/>
        <v>-16.32999999999997</v>
      </c>
      <c r="Q239" s="177">
        <f t="shared" si="80"/>
        <v>336.9700000000002</v>
      </c>
      <c r="R239" s="177">
        <f>SUM(R241:R252)</f>
        <v>336.96</v>
      </c>
      <c r="S239" s="214">
        <f t="shared" si="71"/>
        <v>99.99703237676938</v>
      </c>
    </row>
    <row r="240" spans="1:19" ht="12.75">
      <c r="A240" s="22" t="s">
        <v>35</v>
      </c>
      <c r="B240" s="55"/>
      <c r="C240" s="75"/>
      <c r="D240" s="73"/>
      <c r="E240" s="73"/>
      <c r="F240" s="74"/>
      <c r="G240" s="75"/>
      <c r="H240" s="73"/>
      <c r="I240" s="74"/>
      <c r="J240" s="75"/>
      <c r="K240" s="73"/>
      <c r="L240" s="136"/>
      <c r="M240" s="75"/>
      <c r="N240" s="73"/>
      <c r="O240" s="74"/>
      <c r="P240" s="187"/>
      <c r="Q240" s="171"/>
      <c r="R240" s="171"/>
      <c r="S240" s="168"/>
    </row>
    <row r="241" spans="1:19" ht="12.75" hidden="1">
      <c r="A241" s="22" t="s">
        <v>287</v>
      </c>
      <c r="B241" s="55">
        <v>5100</v>
      </c>
      <c r="C241" s="75"/>
      <c r="D241" s="73">
        <f>1026.37+87.67</f>
        <v>1114.04</v>
      </c>
      <c r="E241" s="73"/>
      <c r="F241" s="74">
        <f aca="true" t="shared" si="81" ref="F241:F252">C241+D241+E241</f>
        <v>1114.04</v>
      </c>
      <c r="G241" s="75">
        <f>-87.67</f>
        <v>-87.67</v>
      </c>
      <c r="H241" s="73"/>
      <c r="I241" s="74">
        <f aca="true" t="shared" si="82" ref="I241:I252">F241+G241+H241</f>
        <v>1026.37</v>
      </c>
      <c r="J241" s="75"/>
      <c r="K241" s="73"/>
      <c r="L241" s="136">
        <f aca="true" t="shared" si="83" ref="L241:L252">I241+J241+K241</f>
        <v>1026.37</v>
      </c>
      <c r="M241" s="75">
        <f>-1026.37</f>
        <v>-1026.37</v>
      </c>
      <c r="N241" s="73"/>
      <c r="O241" s="74">
        <f aca="true" t="shared" si="84" ref="O241:O252">L241+M241+N241</f>
        <v>0</v>
      </c>
      <c r="P241" s="187"/>
      <c r="Q241" s="171">
        <f aca="true" t="shared" si="85" ref="Q241:Q296">O241+P241</f>
        <v>0</v>
      </c>
      <c r="R241" s="171"/>
      <c r="S241" s="168" t="e">
        <f t="shared" si="71"/>
        <v>#DIV/0!</v>
      </c>
    </row>
    <row r="242" spans="1:19" ht="12.75" hidden="1">
      <c r="A242" s="22" t="s">
        <v>296</v>
      </c>
      <c r="B242" s="55">
        <v>4000</v>
      </c>
      <c r="C242" s="75"/>
      <c r="D242" s="73"/>
      <c r="E242" s="73"/>
      <c r="F242" s="74">
        <f t="shared" si="81"/>
        <v>0</v>
      </c>
      <c r="G242" s="75"/>
      <c r="H242" s="73"/>
      <c r="I242" s="74">
        <f t="shared" si="82"/>
        <v>0</v>
      </c>
      <c r="J242" s="75"/>
      <c r="K242" s="73"/>
      <c r="L242" s="136">
        <f t="shared" si="83"/>
        <v>0</v>
      </c>
      <c r="M242" s="75"/>
      <c r="N242" s="73"/>
      <c r="O242" s="74">
        <f t="shared" si="84"/>
        <v>0</v>
      </c>
      <c r="P242" s="187"/>
      <c r="Q242" s="171">
        <f t="shared" si="85"/>
        <v>0</v>
      </c>
      <c r="R242" s="171"/>
      <c r="S242" s="168" t="e">
        <f t="shared" si="71"/>
        <v>#DIV/0!</v>
      </c>
    </row>
    <row r="243" spans="1:19" ht="12.75">
      <c r="A243" s="13" t="s">
        <v>386</v>
      </c>
      <c r="B243" s="55">
        <v>2100</v>
      </c>
      <c r="C243" s="75"/>
      <c r="D243" s="73">
        <f>1.7+1470.22+9.18+65.65+22.46</f>
        <v>1569.2100000000003</v>
      </c>
      <c r="E243" s="73"/>
      <c r="F243" s="74">
        <f t="shared" si="81"/>
        <v>1569.2100000000003</v>
      </c>
      <c r="G243" s="75">
        <f>11.18+135.35+1.07</f>
        <v>147.6</v>
      </c>
      <c r="H243" s="73"/>
      <c r="I243" s="74">
        <f t="shared" si="82"/>
        <v>1716.8100000000002</v>
      </c>
      <c r="J243" s="158">
        <f>106.01</f>
        <v>106.01</v>
      </c>
      <c r="K243" s="73"/>
      <c r="L243" s="136">
        <f t="shared" si="83"/>
        <v>1822.8200000000002</v>
      </c>
      <c r="M243" s="75">
        <f>-1699.24</f>
        <v>-1699.24</v>
      </c>
      <c r="N243" s="73"/>
      <c r="O243" s="74">
        <f t="shared" si="84"/>
        <v>123.58000000000015</v>
      </c>
      <c r="P243" s="187"/>
      <c r="Q243" s="171">
        <f t="shared" si="85"/>
        <v>123.58000000000015</v>
      </c>
      <c r="R243" s="171">
        <v>123.58</v>
      </c>
      <c r="S243" s="168">
        <f t="shared" si="71"/>
        <v>99.99999999999987</v>
      </c>
    </row>
    <row r="244" spans="1:19" ht="12.75">
      <c r="A244" s="22" t="s">
        <v>331</v>
      </c>
      <c r="B244" s="55"/>
      <c r="C244" s="75"/>
      <c r="D244" s="73"/>
      <c r="E244" s="73"/>
      <c r="F244" s="74"/>
      <c r="G244" s="75">
        <v>16.58</v>
      </c>
      <c r="H244" s="73"/>
      <c r="I244" s="74">
        <f t="shared" si="82"/>
        <v>16.58</v>
      </c>
      <c r="J244" s="75"/>
      <c r="K244" s="73"/>
      <c r="L244" s="136">
        <f t="shared" si="83"/>
        <v>16.58</v>
      </c>
      <c r="M244" s="75"/>
      <c r="N244" s="73"/>
      <c r="O244" s="74">
        <f t="shared" si="84"/>
        <v>16.58</v>
      </c>
      <c r="P244" s="189">
        <f>330.73-233.92</f>
        <v>96.81000000000003</v>
      </c>
      <c r="Q244" s="171">
        <f t="shared" si="85"/>
        <v>113.39000000000003</v>
      </c>
      <c r="R244" s="173">
        <v>113.38</v>
      </c>
      <c r="S244" s="168">
        <f t="shared" si="71"/>
        <v>99.99118088014814</v>
      </c>
    </row>
    <row r="245" spans="1:19" ht="12.75" hidden="1">
      <c r="A245" s="22" t="s">
        <v>331</v>
      </c>
      <c r="B245" s="55">
        <v>3800</v>
      </c>
      <c r="C245" s="75"/>
      <c r="D245" s="73"/>
      <c r="E245" s="73"/>
      <c r="F245" s="74">
        <f t="shared" si="81"/>
        <v>0</v>
      </c>
      <c r="G245" s="75">
        <f>113.14</f>
        <v>113.14</v>
      </c>
      <c r="H245" s="73"/>
      <c r="I245" s="74">
        <f t="shared" si="82"/>
        <v>113.14</v>
      </c>
      <c r="J245" s="75"/>
      <c r="K245" s="73"/>
      <c r="L245" s="136">
        <f t="shared" si="83"/>
        <v>113.14</v>
      </c>
      <c r="M245" s="75"/>
      <c r="N245" s="73"/>
      <c r="O245" s="74">
        <f t="shared" si="84"/>
        <v>113.14</v>
      </c>
      <c r="P245" s="187">
        <f>-113.14</f>
        <v>-113.14</v>
      </c>
      <c r="Q245" s="171">
        <f t="shared" si="85"/>
        <v>0</v>
      </c>
      <c r="R245" s="171"/>
      <c r="S245" s="168"/>
    </row>
    <row r="246" spans="1:19" ht="12.75" hidden="1">
      <c r="A246" s="22" t="s">
        <v>297</v>
      </c>
      <c r="B246" s="55">
        <v>4100</v>
      </c>
      <c r="C246" s="75"/>
      <c r="D246" s="73"/>
      <c r="E246" s="73"/>
      <c r="F246" s="74">
        <f t="shared" si="81"/>
        <v>0</v>
      </c>
      <c r="G246" s="75"/>
      <c r="H246" s="73"/>
      <c r="I246" s="74">
        <f t="shared" si="82"/>
        <v>0</v>
      </c>
      <c r="J246" s="75"/>
      <c r="K246" s="73"/>
      <c r="L246" s="136">
        <f t="shared" si="83"/>
        <v>0</v>
      </c>
      <c r="M246" s="75"/>
      <c r="N246" s="73"/>
      <c r="O246" s="74">
        <f t="shared" si="84"/>
        <v>0</v>
      </c>
      <c r="P246" s="187"/>
      <c r="Q246" s="171">
        <f t="shared" si="85"/>
        <v>0</v>
      </c>
      <c r="R246" s="171"/>
      <c r="S246" s="168" t="e">
        <f t="shared" si="71"/>
        <v>#DIV/0!</v>
      </c>
    </row>
    <row r="247" spans="1:19" ht="12.75" hidden="1">
      <c r="A247" s="22" t="s">
        <v>293</v>
      </c>
      <c r="B247" s="55">
        <v>2200</v>
      </c>
      <c r="C247" s="75"/>
      <c r="D247" s="73">
        <f>2.37+130</f>
        <v>132.37</v>
      </c>
      <c r="E247" s="73"/>
      <c r="F247" s="74">
        <f t="shared" si="81"/>
        <v>132.37</v>
      </c>
      <c r="G247" s="75">
        <f>2.37</f>
        <v>2.37</v>
      </c>
      <c r="H247" s="73"/>
      <c r="I247" s="74">
        <f t="shared" si="82"/>
        <v>134.74</v>
      </c>
      <c r="J247" s="75"/>
      <c r="K247" s="73"/>
      <c r="L247" s="136">
        <f t="shared" si="83"/>
        <v>134.74</v>
      </c>
      <c r="M247" s="75">
        <f>-134.74</f>
        <v>-134.74</v>
      </c>
      <c r="N247" s="73"/>
      <c r="O247" s="74">
        <f t="shared" si="84"/>
        <v>0</v>
      </c>
      <c r="P247" s="187"/>
      <c r="Q247" s="171">
        <f t="shared" si="85"/>
        <v>0</v>
      </c>
      <c r="R247" s="171"/>
      <c r="S247" s="168" t="e">
        <f t="shared" si="71"/>
        <v>#DIV/0!</v>
      </c>
    </row>
    <row r="248" spans="1:19" ht="12.75" hidden="1">
      <c r="A248" s="22" t="s">
        <v>298</v>
      </c>
      <c r="B248" s="55">
        <v>4200</v>
      </c>
      <c r="C248" s="75"/>
      <c r="D248" s="73"/>
      <c r="E248" s="73"/>
      <c r="F248" s="74">
        <f t="shared" si="81"/>
        <v>0</v>
      </c>
      <c r="G248" s="75"/>
      <c r="H248" s="73"/>
      <c r="I248" s="74">
        <f t="shared" si="82"/>
        <v>0</v>
      </c>
      <c r="J248" s="75"/>
      <c r="K248" s="73"/>
      <c r="L248" s="136">
        <f t="shared" si="83"/>
        <v>0</v>
      </c>
      <c r="M248" s="75"/>
      <c r="N248" s="73"/>
      <c r="O248" s="74">
        <f t="shared" si="84"/>
        <v>0</v>
      </c>
      <c r="P248" s="187"/>
      <c r="Q248" s="171">
        <f t="shared" si="85"/>
        <v>0</v>
      </c>
      <c r="R248" s="171"/>
      <c r="S248" s="168" t="e">
        <f t="shared" si="71"/>
        <v>#DIV/0!</v>
      </c>
    </row>
    <row r="249" spans="1:19" ht="12.75" hidden="1">
      <c r="A249" s="22" t="s">
        <v>295</v>
      </c>
      <c r="B249" s="55">
        <v>2300</v>
      </c>
      <c r="C249" s="75"/>
      <c r="D249" s="73">
        <f>124.61+33.16</f>
        <v>157.76999999999998</v>
      </c>
      <c r="E249" s="73"/>
      <c r="F249" s="74">
        <f t="shared" si="81"/>
        <v>157.76999999999998</v>
      </c>
      <c r="G249" s="75">
        <v>-33.16</v>
      </c>
      <c r="H249" s="73"/>
      <c r="I249" s="74">
        <f t="shared" si="82"/>
        <v>124.60999999999999</v>
      </c>
      <c r="J249" s="75"/>
      <c r="K249" s="73"/>
      <c r="L249" s="136">
        <f t="shared" si="83"/>
        <v>124.60999999999999</v>
      </c>
      <c r="M249" s="75">
        <f>-124.61</f>
        <v>-124.61</v>
      </c>
      <c r="N249" s="73"/>
      <c r="O249" s="74">
        <f t="shared" si="84"/>
        <v>-1.4210854715202004E-14</v>
      </c>
      <c r="P249" s="187"/>
      <c r="Q249" s="171">
        <f t="shared" si="85"/>
        <v>-1.4210854715202004E-14</v>
      </c>
      <c r="R249" s="171"/>
      <c r="S249" s="168">
        <f t="shared" si="71"/>
        <v>0</v>
      </c>
    </row>
    <row r="250" spans="1:19" ht="12.75" hidden="1">
      <c r="A250" s="13" t="s">
        <v>87</v>
      </c>
      <c r="B250" s="55"/>
      <c r="C250" s="75"/>
      <c r="D250" s="73"/>
      <c r="E250" s="73"/>
      <c r="F250" s="74">
        <f t="shared" si="81"/>
        <v>0</v>
      </c>
      <c r="G250" s="75"/>
      <c r="H250" s="73"/>
      <c r="I250" s="74">
        <f t="shared" si="82"/>
        <v>0</v>
      </c>
      <c r="J250" s="75"/>
      <c r="K250" s="73"/>
      <c r="L250" s="136">
        <f t="shared" si="83"/>
        <v>0</v>
      </c>
      <c r="M250" s="75"/>
      <c r="N250" s="73"/>
      <c r="O250" s="74">
        <f t="shared" si="84"/>
        <v>0</v>
      </c>
      <c r="P250" s="187"/>
      <c r="Q250" s="171">
        <f t="shared" si="85"/>
        <v>0</v>
      </c>
      <c r="R250" s="171"/>
      <c r="S250" s="168" t="e">
        <f t="shared" si="71"/>
        <v>#DIV/0!</v>
      </c>
    </row>
    <row r="251" spans="1:19" ht="12.75">
      <c r="A251" s="16" t="s">
        <v>71</v>
      </c>
      <c r="B251" s="58"/>
      <c r="C251" s="83"/>
      <c r="D251" s="84"/>
      <c r="E251" s="84"/>
      <c r="F251" s="121">
        <f t="shared" si="81"/>
        <v>0</v>
      </c>
      <c r="G251" s="83"/>
      <c r="H251" s="84"/>
      <c r="I251" s="121">
        <f t="shared" si="82"/>
        <v>0</v>
      </c>
      <c r="J251" s="83"/>
      <c r="K251" s="84"/>
      <c r="L251" s="150">
        <f t="shared" si="83"/>
        <v>0</v>
      </c>
      <c r="M251" s="83">
        <f>100</f>
        <v>100</v>
      </c>
      <c r="N251" s="84"/>
      <c r="O251" s="121">
        <f t="shared" si="84"/>
        <v>100</v>
      </c>
      <c r="P251" s="195"/>
      <c r="Q251" s="207">
        <f t="shared" si="85"/>
        <v>100</v>
      </c>
      <c r="R251" s="207">
        <v>100</v>
      </c>
      <c r="S251" s="215">
        <f t="shared" si="71"/>
        <v>100</v>
      </c>
    </row>
    <row r="252" spans="1:19" ht="12.75" hidden="1">
      <c r="A252" s="16" t="s">
        <v>99</v>
      </c>
      <c r="B252" s="58"/>
      <c r="C252" s="83"/>
      <c r="D252" s="84"/>
      <c r="E252" s="84"/>
      <c r="F252" s="121">
        <f t="shared" si="81"/>
        <v>0</v>
      </c>
      <c r="G252" s="83"/>
      <c r="H252" s="84"/>
      <c r="I252" s="121">
        <f t="shared" si="82"/>
        <v>0</v>
      </c>
      <c r="J252" s="83"/>
      <c r="K252" s="84"/>
      <c r="L252" s="150">
        <f t="shared" si="83"/>
        <v>0</v>
      </c>
      <c r="M252" s="83"/>
      <c r="N252" s="84"/>
      <c r="O252" s="121">
        <f t="shared" si="84"/>
        <v>0</v>
      </c>
      <c r="P252" s="195"/>
      <c r="Q252" s="207">
        <f t="shared" si="85"/>
        <v>0</v>
      </c>
      <c r="R252" s="171"/>
      <c r="S252" s="168" t="e">
        <f t="shared" si="71"/>
        <v>#DIV/0!</v>
      </c>
    </row>
    <row r="253" spans="1:19" ht="12.75">
      <c r="A253" s="10" t="s">
        <v>104</v>
      </c>
      <c r="B253" s="59"/>
      <c r="C253" s="70">
        <f aca="true" t="shared" si="86" ref="C253:L253">C254+C293</f>
        <v>337719.7</v>
      </c>
      <c r="D253" s="71">
        <f t="shared" si="86"/>
        <v>4547425.79</v>
      </c>
      <c r="E253" s="71">
        <f t="shared" si="86"/>
        <v>0</v>
      </c>
      <c r="F253" s="72">
        <f t="shared" si="86"/>
        <v>4885145.489999999</v>
      </c>
      <c r="G253" s="70">
        <f t="shared" si="86"/>
        <v>57814.23</v>
      </c>
      <c r="H253" s="71">
        <f t="shared" si="86"/>
        <v>0</v>
      </c>
      <c r="I253" s="72">
        <f t="shared" si="86"/>
        <v>4942959.72</v>
      </c>
      <c r="J253" s="70">
        <f t="shared" si="86"/>
        <v>94290.22</v>
      </c>
      <c r="K253" s="71">
        <f t="shared" si="86"/>
        <v>0</v>
      </c>
      <c r="L253" s="138">
        <f t="shared" si="86"/>
        <v>5037249.939999999</v>
      </c>
      <c r="M253" s="70">
        <f aca="true" t="shared" si="87" ref="M253:R253">M254+M293</f>
        <v>83496.95999999999</v>
      </c>
      <c r="N253" s="71">
        <f t="shared" si="87"/>
        <v>0</v>
      </c>
      <c r="O253" s="72">
        <f t="shared" si="87"/>
        <v>5120746.899999999</v>
      </c>
      <c r="P253" s="188">
        <f t="shared" si="87"/>
        <v>-1958.1700000000003</v>
      </c>
      <c r="Q253" s="172">
        <f t="shared" si="87"/>
        <v>5118788.729999997</v>
      </c>
      <c r="R253" s="172">
        <f t="shared" si="87"/>
        <v>5116577.359999997</v>
      </c>
      <c r="S253" s="165">
        <f t="shared" si="71"/>
        <v>99.95679895935068</v>
      </c>
    </row>
    <row r="254" spans="1:19" ht="12.75">
      <c r="A254" s="19" t="s">
        <v>64</v>
      </c>
      <c r="B254" s="59"/>
      <c r="C254" s="80">
        <f aca="true" t="shared" si="88" ref="C254:L254">SUM(C256:C292)</f>
        <v>337719.7</v>
      </c>
      <c r="D254" s="81">
        <f t="shared" si="88"/>
        <v>4545745.79</v>
      </c>
      <c r="E254" s="81">
        <f t="shared" si="88"/>
        <v>0</v>
      </c>
      <c r="F254" s="82">
        <f t="shared" si="88"/>
        <v>4883465.489999999</v>
      </c>
      <c r="G254" s="80">
        <f t="shared" si="88"/>
        <v>57622.43</v>
      </c>
      <c r="H254" s="81">
        <f t="shared" si="88"/>
        <v>0</v>
      </c>
      <c r="I254" s="82">
        <f t="shared" si="88"/>
        <v>4941087.92</v>
      </c>
      <c r="J254" s="80">
        <f t="shared" si="88"/>
        <v>93591.22</v>
      </c>
      <c r="K254" s="81">
        <f t="shared" si="88"/>
        <v>0</v>
      </c>
      <c r="L254" s="140">
        <f t="shared" si="88"/>
        <v>5034679.139999999</v>
      </c>
      <c r="M254" s="80">
        <f aca="true" t="shared" si="89" ref="M254:R254">SUM(M256:M292)</f>
        <v>81260.35999999999</v>
      </c>
      <c r="N254" s="81">
        <f t="shared" si="89"/>
        <v>0</v>
      </c>
      <c r="O254" s="82">
        <f t="shared" si="89"/>
        <v>5115939.499999999</v>
      </c>
      <c r="P254" s="193">
        <f t="shared" si="89"/>
        <v>-1769.7700000000002</v>
      </c>
      <c r="Q254" s="176">
        <f t="shared" si="89"/>
        <v>5114169.729999997</v>
      </c>
      <c r="R254" s="176">
        <f t="shared" si="89"/>
        <v>5111958.359999997</v>
      </c>
      <c r="S254" s="214">
        <f t="shared" si="71"/>
        <v>99.9567599411684</v>
      </c>
    </row>
    <row r="255" spans="1:19" ht="12.75">
      <c r="A255" s="11" t="s">
        <v>35</v>
      </c>
      <c r="B255" s="55"/>
      <c r="C255" s="75"/>
      <c r="D255" s="73"/>
      <c r="E255" s="73"/>
      <c r="F255" s="74"/>
      <c r="G255" s="75"/>
      <c r="H255" s="73"/>
      <c r="I255" s="74"/>
      <c r="J255" s="75"/>
      <c r="K255" s="73"/>
      <c r="L255" s="136"/>
      <c r="M255" s="75"/>
      <c r="N255" s="73"/>
      <c r="O255" s="74"/>
      <c r="P255" s="187"/>
      <c r="Q255" s="171"/>
      <c r="R255" s="171"/>
      <c r="S255" s="168"/>
    </row>
    <row r="256" spans="1:19" ht="12.75">
      <c r="A256" s="17" t="s">
        <v>95</v>
      </c>
      <c r="B256" s="55"/>
      <c r="C256" s="75">
        <v>314770.7</v>
      </c>
      <c r="D256" s="73">
        <f>3940.9+600</f>
        <v>4540.9</v>
      </c>
      <c r="E256" s="73"/>
      <c r="F256" s="74">
        <f aca="true" t="shared" si="90" ref="F256:F292">C256+D256+E256</f>
        <v>319311.60000000003</v>
      </c>
      <c r="G256" s="75">
        <f>2571.2+148.7</f>
        <v>2719.8999999999996</v>
      </c>
      <c r="H256" s="73"/>
      <c r="I256" s="74">
        <f>F256+G256+H256</f>
        <v>322031.50000000006</v>
      </c>
      <c r="J256" s="75">
        <f>3036.1+5662.5+91.1+350</f>
        <v>9139.7</v>
      </c>
      <c r="K256" s="73"/>
      <c r="L256" s="136">
        <f>I256+J256+K256</f>
        <v>331171.20000000007</v>
      </c>
      <c r="M256" s="75">
        <f>1812.4+1549.5+45.4-1428.6+832</f>
        <v>2810.7000000000003</v>
      </c>
      <c r="N256" s="73"/>
      <c r="O256" s="74">
        <f>L256+M256+N256</f>
        <v>333981.9000000001</v>
      </c>
      <c r="P256" s="187">
        <f>428.4</f>
        <v>428.4</v>
      </c>
      <c r="Q256" s="171">
        <f t="shared" si="85"/>
        <v>334410.3000000001</v>
      </c>
      <c r="R256" s="171">
        <v>334410.3</v>
      </c>
      <c r="S256" s="168">
        <f t="shared" si="71"/>
        <v>99.99999999999997</v>
      </c>
    </row>
    <row r="257" spans="1:19" ht="12.75">
      <c r="A257" s="17" t="s">
        <v>105</v>
      </c>
      <c r="B257" s="55"/>
      <c r="C257" s="75"/>
      <c r="D257" s="73"/>
      <c r="E257" s="73"/>
      <c r="F257" s="74"/>
      <c r="G257" s="75"/>
      <c r="H257" s="73"/>
      <c r="I257" s="74"/>
      <c r="J257" s="75"/>
      <c r="K257" s="73"/>
      <c r="L257" s="136"/>
      <c r="M257" s="75"/>
      <c r="N257" s="73"/>
      <c r="O257" s="74"/>
      <c r="P257" s="187"/>
      <c r="Q257" s="171"/>
      <c r="R257" s="171"/>
      <c r="S257" s="168"/>
    </row>
    <row r="258" spans="1:19" ht="12.75">
      <c r="A258" s="17" t="s">
        <v>106</v>
      </c>
      <c r="B258" s="55">
        <v>33353</v>
      </c>
      <c r="C258" s="75"/>
      <c r="D258" s="73">
        <v>1454802</v>
      </c>
      <c r="E258" s="73"/>
      <c r="F258" s="74">
        <f t="shared" si="90"/>
        <v>1454802</v>
      </c>
      <c r="G258" s="75"/>
      <c r="H258" s="73"/>
      <c r="I258" s="74">
        <f aca="true" t="shared" si="91" ref="I258:I292">F258+G258+H258</f>
        <v>1454802</v>
      </c>
      <c r="J258" s="75"/>
      <c r="K258" s="73"/>
      <c r="L258" s="136">
        <f aca="true" t="shared" si="92" ref="L258:L292">I258+J258+K258</f>
        <v>1454802</v>
      </c>
      <c r="M258" s="75"/>
      <c r="N258" s="73"/>
      <c r="O258" s="74">
        <f aca="true" t="shared" si="93" ref="O258:O292">L258+M258+N258</f>
        <v>1454802</v>
      </c>
      <c r="P258" s="187"/>
      <c r="Q258" s="171">
        <f t="shared" si="85"/>
        <v>1454802</v>
      </c>
      <c r="R258" s="171">
        <v>1454802</v>
      </c>
      <c r="S258" s="168">
        <f t="shared" si="71"/>
        <v>100</v>
      </c>
    </row>
    <row r="259" spans="1:19" ht="12.75">
      <c r="A259" s="17" t="s">
        <v>107</v>
      </c>
      <c r="B259" s="55">
        <v>33155</v>
      </c>
      <c r="C259" s="75"/>
      <c r="D259" s="73">
        <v>48850</v>
      </c>
      <c r="E259" s="73"/>
      <c r="F259" s="74">
        <f t="shared" si="90"/>
        <v>48850</v>
      </c>
      <c r="G259" s="75">
        <v>46910</v>
      </c>
      <c r="H259" s="73"/>
      <c r="I259" s="74">
        <f t="shared" si="91"/>
        <v>95760</v>
      </c>
      <c r="J259" s="75">
        <f>46880</f>
        <v>46880</v>
      </c>
      <c r="K259" s="73"/>
      <c r="L259" s="136">
        <f t="shared" si="92"/>
        <v>142640</v>
      </c>
      <c r="M259" s="75">
        <v>50433</v>
      </c>
      <c r="N259" s="73"/>
      <c r="O259" s="74">
        <f t="shared" si="93"/>
        <v>193073</v>
      </c>
      <c r="P259" s="187"/>
      <c r="Q259" s="171">
        <f t="shared" si="85"/>
        <v>193073</v>
      </c>
      <c r="R259" s="171">
        <v>193073</v>
      </c>
      <c r="S259" s="168">
        <f t="shared" si="71"/>
        <v>100</v>
      </c>
    </row>
    <row r="260" spans="1:19" ht="12.75">
      <c r="A260" s="17" t="s">
        <v>108</v>
      </c>
      <c r="B260" s="55">
        <v>33353</v>
      </c>
      <c r="C260" s="75"/>
      <c r="D260" s="88">
        <v>2895690</v>
      </c>
      <c r="E260" s="73"/>
      <c r="F260" s="74">
        <f t="shared" si="90"/>
        <v>2895690</v>
      </c>
      <c r="G260" s="75"/>
      <c r="H260" s="73"/>
      <c r="I260" s="74">
        <f t="shared" si="91"/>
        <v>2895690</v>
      </c>
      <c r="J260" s="75"/>
      <c r="K260" s="73"/>
      <c r="L260" s="136">
        <f t="shared" si="92"/>
        <v>2895690</v>
      </c>
      <c r="M260" s="75"/>
      <c r="N260" s="73"/>
      <c r="O260" s="74">
        <f t="shared" si="93"/>
        <v>2895690</v>
      </c>
      <c r="P260" s="187"/>
      <c r="Q260" s="171">
        <f t="shared" si="85"/>
        <v>2895690</v>
      </c>
      <c r="R260" s="171">
        <v>2895690</v>
      </c>
      <c r="S260" s="168">
        <f t="shared" si="71"/>
        <v>100</v>
      </c>
    </row>
    <row r="261" spans="1:19" ht="12.75">
      <c r="A261" s="17" t="s">
        <v>109</v>
      </c>
      <c r="B261" s="55">
        <v>33122</v>
      </c>
      <c r="C261" s="75"/>
      <c r="D261" s="73">
        <f>145.45</f>
        <v>145.45</v>
      </c>
      <c r="E261" s="73"/>
      <c r="F261" s="74">
        <f t="shared" si="90"/>
        <v>145.45</v>
      </c>
      <c r="G261" s="75"/>
      <c r="H261" s="73"/>
      <c r="I261" s="74">
        <f t="shared" si="91"/>
        <v>145.45</v>
      </c>
      <c r="J261" s="75"/>
      <c r="K261" s="73"/>
      <c r="L261" s="136">
        <f t="shared" si="92"/>
        <v>145.45</v>
      </c>
      <c r="M261" s="75"/>
      <c r="N261" s="73"/>
      <c r="O261" s="74">
        <f t="shared" si="93"/>
        <v>145.45</v>
      </c>
      <c r="P261" s="187">
        <f>-7.06</f>
        <v>-7.06</v>
      </c>
      <c r="Q261" s="171">
        <f t="shared" si="85"/>
        <v>138.39</v>
      </c>
      <c r="R261" s="171">
        <v>138.39</v>
      </c>
      <c r="S261" s="168">
        <f t="shared" si="71"/>
        <v>100</v>
      </c>
    </row>
    <row r="262" spans="1:19" ht="12.75" hidden="1">
      <c r="A262" s="17" t="s">
        <v>110</v>
      </c>
      <c r="B262" s="55"/>
      <c r="C262" s="75"/>
      <c r="D262" s="73"/>
      <c r="E262" s="73"/>
      <c r="F262" s="74">
        <f t="shared" si="90"/>
        <v>0</v>
      </c>
      <c r="G262" s="75"/>
      <c r="H262" s="73"/>
      <c r="I262" s="74">
        <f t="shared" si="91"/>
        <v>0</v>
      </c>
      <c r="J262" s="75"/>
      <c r="K262" s="73"/>
      <c r="L262" s="136">
        <f t="shared" si="92"/>
        <v>0</v>
      </c>
      <c r="M262" s="75"/>
      <c r="N262" s="73"/>
      <c r="O262" s="74">
        <f t="shared" si="93"/>
        <v>0</v>
      </c>
      <c r="P262" s="187"/>
      <c r="Q262" s="171">
        <f t="shared" si="85"/>
        <v>0</v>
      </c>
      <c r="R262" s="171"/>
      <c r="S262" s="168" t="e">
        <f t="shared" si="71"/>
        <v>#DIV/0!</v>
      </c>
    </row>
    <row r="263" spans="1:19" ht="12.75" hidden="1">
      <c r="A263" s="17" t="s">
        <v>209</v>
      </c>
      <c r="B263" s="55"/>
      <c r="C263" s="75"/>
      <c r="D263" s="73"/>
      <c r="E263" s="73"/>
      <c r="F263" s="74">
        <f t="shared" si="90"/>
        <v>0</v>
      </c>
      <c r="G263" s="75"/>
      <c r="H263" s="73"/>
      <c r="I263" s="74">
        <f t="shared" si="91"/>
        <v>0</v>
      </c>
      <c r="J263" s="75"/>
      <c r="K263" s="73"/>
      <c r="L263" s="136">
        <f t="shared" si="92"/>
        <v>0</v>
      </c>
      <c r="M263" s="75"/>
      <c r="N263" s="73"/>
      <c r="O263" s="74">
        <f t="shared" si="93"/>
        <v>0</v>
      </c>
      <c r="P263" s="187"/>
      <c r="Q263" s="171">
        <f t="shared" si="85"/>
        <v>0</v>
      </c>
      <c r="R263" s="171"/>
      <c r="S263" s="168" t="e">
        <f t="shared" si="71"/>
        <v>#DIV/0!</v>
      </c>
    </row>
    <row r="264" spans="1:19" ht="12.75" hidden="1">
      <c r="A264" s="17" t="s">
        <v>111</v>
      </c>
      <c r="B264" s="55"/>
      <c r="C264" s="75"/>
      <c r="D264" s="73"/>
      <c r="E264" s="73"/>
      <c r="F264" s="74">
        <f t="shared" si="90"/>
        <v>0</v>
      </c>
      <c r="G264" s="75"/>
      <c r="H264" s="73"/>
      <c r="I264" s="74">
        <f t="shared" si="91"/>
        <v>0</v>
      </c>
      <c r="J264" s="75"/>
      <c r="K264" s="73"/>
      <c r="L264" s="136">
        <f t="shared" si="92"/>
        <v>0</v>
      </c>
      <c r="M264" s="75"/>
      <c r="N264" s="73"/>
      <c r="O264" s="74">
        <f t="shared" si="93"/>
        <v>0</v>
      </c>
      <c r="P264" s="187"/>
      <c r="Q264" s="171">
        <f t="shared" si="85"/>
        <v>0</v>
      </c>
      <c r="R264" s="171"/>
      <c r="S264" s="168" t="e">
        <f t="shared" si="71"/>
        <v>#DIV/0!</v>
      </c>
    </row>
    <row r="265" spans="1:19" ht="12.75" hidden="1">
      <c r="A265" s="17" t="s">
        <v>175</v>
      </c>
      <c r="B265" s="55"/>
      <c r="C265" s="75"/>
      <c r="D265" s="73"/>
      <c r="E265" s="73"/>
      <c r="F265" s="74">
        <f t="shared" si="90"/>
        <v>0</v>
      </c>
      <c r="G265" s="75"/>
      <c r="H265" s="73"/>
      <c r="I265" s="74">
        <f t="shared" si="91"/>
        <v>0</v>
      </c>
      <c r="J265" s="75"/>
      <c r="K265" s="73"/>
      <c r="L265" s="136">
        <f t="shared" si="92"/>
        <v>0</v>
      </c>
      <c r="M265" s="75"/>
      <c r="N265" s="73"/>
      <c r="O265" s="74">
        <f t="shared" si="93"/>
        <v>0</v>
      </c>
      <c r="P265" s="187"/>
      <c r="Q265" s="171">
        <f t="shared" si="85"/>
        <v>0</v>
      </c>
      <c r="R265" s="171"/>
      <c r="S265" s="168" t="e">
        <f t="shared" si="71"/>
        <v>#DIV/0!</v>
      </c>
    </row>
    <row r="266" spans="1:19" ht="12.75" customHeight="1">
      <c r="A266" s="17" t="s">
        <v>370</v>
      </c>
      <c r="B266" s="55">
        <v>33215</v>
      </c>
      <c r="C266" s="75"/>
      <c r="D266" s="73">
        <f>6454.75</f>
        <v>6454.75</v>
      </c>
      <c r="E266" s="73"/>
      <c r="F266" s="74">
        <f t="shared" si="90"/>
        <v>6454.75</v>
      </c>
      <c r="G266" s="75"/>
      <c r="H266" s="73"/>
      <c r="I266" s="74">
        <f t="shared" si="91"/>
        <v>6454.75</v>
      </c>
      <c r="J266" s="75"/>
      <c r="K266" s="73"/>
      <c r="L266" s="136">
        <f t="shared" si="92"/>
        <v>6454.75</v>
      </c>
      <c r="M266" s="75">
        <f>77.63</f>
        <v>77.63</v>
      </c>
      <c r="N266" s="73"/>
      <c r="O266" s="74">
        <f t="shared" si="93"/>
        <v>6532.38</v>
      </c>
      <c r="P266" s="187">
        <f>-115.23</f>
        <v>-115.23</v>
      </c>
      <c r="Q266" s="171">
        <f t="shared" si="85"/>
        <v>6417.150000000001</v>
      </c>
      <c r="R266" s="171">
        <v>6417.15</v>
      </c>
      <c r="S266" s="168">
        <f t="shared" si="71"/>
        <v>99.99999999999999</v>
      </c>
    </row>
    <row r="267" spans="1:19" ht="12.75">
      <c r="A267" s="17" t="s">
        <v>371</v>
      </c>
      <c r="B267" s="55">
        <v>33457</v>
      </c>
      <c r="C267" s="75"/>
      <c r="D267" s="73">
        <f>10645.16+1241.1</f>
        <v>11886.26</v>
      </c>
      <c r="E267" s="73"/>
      <c r="F267" s="74">
        <f t="shared" si="90"/>
        <v>11886.26</v>
      </c>
      <c r="G267" s="75"/>
      <c r="H267" s="73"/>
      <c r="I267" s="74">
        <f t="shared" si="91"/>
        <v>11886.26</v>
      </c>
      <c r="J267" s="75"/>
      <c r="K267" s="73"/>
      <c r="L267" s="136">
        <f t="shared" si="92"/>
        <v>11886.26</v>
      </c>
      <c r="M267" s="75">
        <f>128.47+28.33+142.74</f>
        <v>299.54</v>
      </c>
      <c r="N267" s="73"/>
      <c r="O267" s="74">
        <f t="shared" si="93"/>
        <v>12185.800000000001</v>
      </c>
      <c r="P267" s="187">
        <f>-438.43</f>
        <v>-438.43</v>
      </c>
      <c r="Q267" s="171">
        <f t="shared" si="85"/>
        <v>11747.37</v>
      </c>
      <c r="R267" s="171">
        <v>11747.37</v>
      </c>
      <c r="S267" s="168">
        <f t="shared" si="71"/>
        <v>100</v>
      </c>
    </row>
    <row r="268" spans="1:19" ht="12.75">
      <c r="A268" s="17" t="s">
        <v>326</v>
      </c>
      <c r="B268" s="55">
        <v>33049</v>
      </c>
      <c r="C268" s="75"/>
      <c r="D268" s="73"/>
      <c r="E268" s="73"/>
      <c r="F268" s="74">
        <f t="shared" si="90"/>
        <v>0</v>
      </c>
      <c r="G268" s="75">
        <v>7821.57</v>
      </c>
      <c r="H268" s="73"/>
      <c r="I268" s="74">
        <f t="shared" si="91"/>
        <v>7821.57</v>
      </c>
      <c r="J268" s="75">
        <f>5596.47</f>
        <v>5596.47</v>
      </c>
      <c r="K268" s="73"/>
      <c r="L268" s="136">
        <f t="shared" si="92"/>
        <v>13418.04</v>
      </c>
      <c r="M268" s="75"/>
      <c r="N268" s="73"/>
      <c r="O268" s="74">
        <f t="shared" si="93"/>
        <v>13418.04</v>
      </c>
      <c r="P268" s="187">
        <f>-2.27</f>
        <v>-2.27</v>
      </c>
      <c r="Q268" s="171">
        <f t="shared" si="85"/>
        <v>13415.77</v>
      </c>
      <c r="R268" s="171">
        <v>13415.77</v>
      </c>
      <c r="S268" s="168">
        <f aca="true" t="shared" si="94" ref="S268:S331">R268/Q268*100</f>
        <v>100</v>
      </c>
    </row>
    <row r="269" spans="1:19" ht="12.75">
      <c r="A269" s="17" t="s">
        <v>360</v>
      </c>
      <c r="B269" s="55">
        <v>33034</v>
      </c>
      <c r="C269" s="75"/>
      <c r="D269" s="73"/>
      <c r="E269" s="73"/>
      <c r="F269" s="74"/>
      <c r="G269" s="75"/>
      <c r="H269" s="73"/>
      <c r="I269" s="74"/>
      <c r="J269" s="75"/>
      <c r="K269" s="73"/>
      <c r="L269" s="136">
        <f t="shared" si="92"/>
        <v>0</v>
      </c>
      <c r="M269" s="75">
        <v>617.16</v>
      </c>
      <c r="N269" s="73"/>
      <c r="O269" s="74">
        <f t="shared" si="93"/>
        <v>617.16</v>
      </c>
      <c r="P269" s="187">
        <f>-18.73</f>
        <v>-18.73</v>
      </c>
      <c r="Q269" s="171">
        <f t="shared" si="85"/>
        <v>598.43</v>
      </c>
      <c r="R269" s="171">
        <v>598.43</v>
      </c>
      <c r="S269" s="168">
        <f t="shared" si="94"/>
        <v>100</v>
      </c>
    </row>
    <row r="270" spans="1:19" ht="12.75">
      <c r="A270" s="35" t="s">
        <v>299</v>
      </c>
      <c r="B270" s="55">
        <v>33052</v>
      </c>
      <c r="C270" s="75"/>
      <c r="D270" s="73">
        <v>121134.84</v>
      </c>
      <c r="E270" s="73"/>
      <c r="F270" s="74">
        <f t="shared" si="90"/>
        <v>121134.84</v>
      </c>
      <c r="G270" s="75"/>
      <c r="H270" s="73"/>
      <c r="I270" s="74">
        <f t="shared" si="91"/>
        <v>121134.84</v>
      </c>
      <c r="J270" s="75"/>
      <c r="K270" s="73"/>
      <c r="L270" s="136">
        <f t="shared" si="92"/>
        <v>121134.84</v>
      </c>
      <c r="M270" s="75"/>
      <c r="N270" s="73"/>
      <c r="O270" s="74">
        <f t="shared" si="93"/>
        <v>121134.84</v>
      </c>
      <c r="P270" s="187"/>
      <c r="Q270" s="171">
        <f t="shared" si="85"/>
        <v>121134.84</v>
      </c>
      <c r="R270" s="171">
        <v>121134.84</v>
      </c>
      <c r="S270" s="168">
        <f t="shared" si="94"/>
        <v>100</v>
      </c>
    </row>
    <row r="271" spans="1:19" ht="12.75">
      <c r="A271" s="35" t="s">
        <v>352</v>
      </c>
      <c r="B271" s="55">
        <v>33059</v>
      </c>
      <c r="C271" s="75"/>
      <c r="D271" s="73"/>
      <c r="E271" s="73"/>
      <c r="F271" s="74">
        <f t="shared" si="90"/>
        <v>0</v>
      </c>
      <c r="G271" s="75"/>
      <c r="H271" s="73"/>
      <c r="I271" s="74">
        <f t="shared" si="91"/>
        <v>0</v>
      </c>
      <c r="J271" s="75">
        <f>2062.87</f>
        <v>2062.87</v>
      </c>
      <c r="K271" s="73"/>
      <c r="L271" s="136">
        <f t="shared" si="92"/>
        <v>2062.87</v>
      </c>
      <c r="M271" s="75"/>
      <c r="N271" s="73"/>
      <c r="O271" s="74">
        <f t="shared" si="93"/>
        <v>2062.87</v>
      </c>
      <c r="P271" s="187"/>
      <c r="Q271" s="171">
        <f t="shared" si="85"/>
        <v>2062.87</v>
      </c>
      <c r="R271" s="171">
        <v>2062.87</v>
      </c>
      <c r="S271" s="168">
        <f t="shared" si="94"/>
        <v>100</v>
      </c>
    </row>
    <row r="272" spans="1:19" ht="12.75">
      <c r="A272" s="35" t="s">
        <v>361</v>
      </c>
      <c r="B272" s="55">
        <v>33061</v>
      </c>
      <c r="C272" s="75"/>
      <c r="D272" s="73"/>
      <c r="E272" s="73"/>
      <c r="F272" s="74"/>
      <c r="G272" s="75"/>
      <c r="H272" s="73"/>
      <c r="I272" s="74"/>
      <c r="J272" s="75"/>
      <c r="K272" s="73"/>
      <c r="L272" s="136">
        <f t="shared" si="92"/>
        <v>0</v>
      </c>
      <c r="M272" s="75">
        <v>21758.51</v>
      </c>
      <c r="N272" s="73"/>
      <c r="O272" s="74">
        <f t="shared" si="93"/>
        <v>21758.51</v>
      </c>
      <c r="P272" s="187"/>
      <c r="Q272" s="171">
        <f t="shared" si="85"/>
        <v>21758.51</v>
      </c>
      <c r="R272" s="171">
        <v>21758.51</v>
      </c>
      <c r="S272" s="168">
        <f t="shared" si="94"/>
        <v>100</v>
      </c>
    </row>
    <row r="273" spans="1:19" ht="12.75">
      <c r="A273" s="17" t="s">
        <v>300</v>
      </c>
      <c r="B273" s="55">
        <v>33050</v>
      </c>
      <c r="C273" s="75"/>
      <c r="D273" s="73">
        <v>2617.92</v>
      </c>
      <c r="E273" s="73"/>
      <c r="F273" s="74">
        <f t="shared" si="90"/>
        <v>2617.92</v>
      </c>
      <c r="G273" s="75"/>
      <c r="H273" s="73"/>
      <c r="I273" s="74">
        <f t="shared" si="91"/>
        <v>2617.92</v>
      </c>
      <c r="J273" s="75">
        <f>1869.24-27.33</f>
        <v>1841.91</v>
      </c>
      <c r="K273" s="73"/>
      <c r="L273" s="136">
        <f t="shared" si="92"/>
        <v>4459.83</v>
      </c>
      <c r="M273" s="75"/>
      <c r="N273" s="73"/>
      <c r="O273" s="74">
        <f t="shared" si="93"/>
        <v>4459.83</v>
      </c>
      <c r="P273" s="187"/>
      <c r="Q273" s="171">
        <f t="shared" si="85"/>
        <v>4459.83</v>
      </c>
      <c r="R273" s="171">
        <v>4459.83</v>
      </c>
      <c r="S273" s="168">
        <f t="shared" si="94"/>
        <v>100</v>
      </c>
    </row>
    <row r="274" spans="1:19" ht="12.75">
      <c r="A274" s="17" t="s">
        <v>349</v>
      </c>
      <c r="B274" s="55">
        <v>33056</v>
      </c>
      <c r="C274" s="75"/>
      <c r="D274" s="73"/>
      <c r="E274" s="73"/>
      <c r="F274" s="74"/>
      <c r="G274" s="75"/>
      <c r="H274" s="73"/>
      <c r="I274" s="74">
        <f t="shared" si="91"/>
        <v>0</v>
      </c>
      <c r="J274" s="75">
        <v>2.88</v>
      </c>
      <c r="K274" s="73"/>
      <c r="L274" s="136">
        <f t="shared" si="92"/>
        <v>2.88</v>
      </c>
      <c r="M274" s="75"/>
      <c r="N274" s="73"/>
      <c r="O274" s="74">
        <f t="shared" si="93"/>
        <v>2.88</v>
      </c>
      <c r="P274" s="187"/>
      <c r="Q274" s="171">
        <f t="shared" si="85"/>
        <v>2.88</v>
      </c>
      <c r="R274" s="171">
        <v>2.88</v>
      </c>
      <c r="S274" s="168">
        <f t="shared" si="94"/>
        <v>100</v>
      </c>
    </row>
    <row r="275" spans="1:19" ht="12.75">
      <c r="A275" s="17" t="s">
        <v>202</v>
      </c>
      <c r="B275" s="55">
        <v>33435</v>
      </c>
      <c r="C275" s="75"/>
      <c r="D275" s="73">
        <f>844.6</f>
        <v>844.6</v>
      </c>
      <c r="E275" s="73"/>
      <c r="F275" s="74">
        <f t="shared" si="90"/>
        <v>844.6</v>
      </c>
      <c r="G275" s="75"/>
      <c r="H275" s="73"/>
      <c r="I275" s="74">
        <f t="shared" si="91"/>
        <v>844.6</v>
      </c>
      <c r="J275" s="75"/>
      <c r="K275" s="73"/>
      <c r="L275" s="136">
        <f t="shared" si="92"/>
        <v>844.6</v>
      </c>
      <c r="M275" s="75"/>
      <c r="N275" s="73"/>
      <c r="O275" s="74">
        <f t="shared" si="93"/>
        <v>844.6</v>
      </c>
      <c r="P275" s="187"/>
      <c r="Q275" s="171">
        <f t="shared" si="85"/>
        <v>844.6</v>
      </c>
      <c r="R275" s="171">
        <v>844.6</v>
      </c>
      <c r="S275" s="168">
        <f t="shared" si="94"/>
        <v>100</v>
      </c>
    </row>
    <row r="276" spans="1:19" ht="12.75">
      <c r="A276" s="17" t="s">
        <v>325</v>
      </c>
      <c r="B276" s="55">
        <v>33043</v>
      </c>
      <c r="C276" s="75"/>
      <c r="D276" s="73"/>
      <c r="E276" s="73"/>
      <c r="F276" s="74">
        <f t="shared" si="90"/>
        <v>0</v>
      </c>
      <c r="G276" s="75">
        <v>309.06</v>
      </c>
      <c r="H276" s="73"/>
      <c r="I276" s="74">
        <f t="shared" si="91"/>
        <v>309.06</v>
      </c>
      <c r="J276" s="75"/>
      <c r="K276" s="73"/>
      <c r="L276" s="136">
        <f t="shared" si="92"/>
        <v>309.06</v>
      </c>
      <c r="M276" s="75"/>
      <c r="N276" s="73"/>
      <c r="O276" s="74">
        <f t="shared" si="93"/>
        <v>309.06</v>
      </c>
      <c r="P276" s="187"/>
      <c r="Q276" s="171">
        <f t="shared" si="85"/>
        <v>309.06</v>
      </c>
      <c r="R276" s="171">
        <v>309.06</v>
      </c>
      <c r="S276" s="168">
        <f t="shared" si="94"/>
        <v>100</v>
      </c>
    </row>
    <row r="277" spans="1:19" ht="12.75">
      <c r="A277" s="17" t="s">
        <v>301</v>
      </c>
      <c r="B277" s="55">
        <v>33044</v>
      </c>
      <c r="C277" s="75"/>
      <c r="D277" s="73">
        <v>358.01</v>
      </c>
      <c r="E277" s="73"/>
      <c r="F277" s="74">
        <f t="shared" si="90"/>
        <v>358.01</v>
      </c>
      <c r="G277" s="75"/>
      <c r="H277" s="73"/>
      <c r="I277" s="74">
        <f t="shared" si="91"/>
        <v>358.01</v>
      </c>
      <c r="J277" s="75"/>
      <c r="K277" s="73"/>
      <c r="L277" s="136">
        <f t="shared" si="92"/>
        <v>358.01</v>
      </c>
      <c r="M277" s="75"/>
      <c r="N277" s="73"/>
      <c r="O277" s="74">
        <f t="shared" si="93"/>
        <v>358.01</v>
      </c>
      <c r="P277" s="187"/>
      <c r="Q277" s="171">
        <f t="shared" si="85"/>
        <v>358.01</v>
      </c>
      <c r="R277" s="171">
        <v>358.01</v>
      </c>
      <c r="S277" s="168">
        <f t="shared" si="94"/>
        <v>100</v>
      </c>
    </row>
    <row r="278" spans="1:19" ht="12.75">
      <c r="A278" s="17" t="s">
        <v>308</v>
      </c>
      <c r="B278" s="55">
        <v>33024</v>
      </c>
      <c r="C278" s="75"/>
      <c r="D278" s="73">
        <v>94.66</v>
      </c>
      <c r="E278" s="73"/>
      <c r="F278" s="74">
        <f t="shared" si="90"/>
        <v>94.66</v>
      </c>
      <c r="G278" s="75"/>
      <c r="H278" s="73"/>
      <c r="I278" s="74">
        <f t="shared" si="91"/>
        <v>94.66</v>
      </c>
      <c r="J278" s="75"/>
      <c r="K278" s="73"/>
      <c r="L278" s="136">
        <f t="shared" si="92"/>
        <v>94.66</v>
      </c>
      <c r="M278" s="75"/>
      <c r="N278" s="73"/>
      <c r="O278" s="74">
        <f t="shared" si="93"/>
        <v>94.66</v>
      </c>
      <c r="P278" s="187"/>
      <c r="Q278" s="171">
        <f t="shared" si="85"/>
        <v>94.66</v>
      </c>
      <c r="R278" s="171">
        <v>94.66</v>
      </c>
      <c r="S278" s="168">
        <f t="shared" si="94"/>
        <v>100</v>
      </c>
    </row>
    <row r="279" spans="1:19" ht="12.75" hidden="1">
      <c r="A279" s="35" t="s">
        <v>214</v>
      </c>
      <c r="B279" s="55">
        <v>33018</v>
      </c>
      <c r="C279" s="75"/>
      <c r="D279" s="73"/>
      <c r="E279" s="73"/>
      <c r="F279" s="74">
        <f t="shared" si="90"/>
        <v>0</v>
      </c>
      <c r="G279" s="75"/>
      <c r="H279" s="73"/>
      <c r="I279" s="74">
        <f t="shared" si="91"/>
        <v>0</v>
      </c>
      <c r="J279" s="75"/>
      <c r="K279" s="73"/>
      <c r="L279" s="136">
        <f t="shared" si="92"/>
        <v>0</v>
      </c>
      <c r="M279" s="75"/>
      <c r="N279" s="73"/>
      <c r="O279" s="74">
        <f t="shared" si="93"/>
        <v>0</v>
      </c>
      <c r="P279" s="187"/>
      <c r="Q279" s="171">
        <f t="shared" si="85"/>
        <v>0</v>
      </c>
      <c r="R279" s="171"/>
      <c r="S279" s="168" t="e">
        <f t="shared" si="94"/>
        <v>#DIV/0!</v>
      </c>
    </row>
    <row r="280" spans="1:19" ht="12.75" hidden="1">
      <c r="A280" s="15" t="s">
        <v>215</v>
      </c>
      <c r="B280" s="55"/>
      <c r="C280" s="75"/>
      <c r="D280" s="73"/>
      <c r="E280" s="73"/>
      <c r="F280" s="74">
        <f t="shared" si="90"/>
        <v>0</v>
      </c>
      <c r="G280" s="75"/>
      <c r="H280" s="73"/>
      <c r="I280" s="74">
        <f t="shared" si="91"/>
        <v>0</v>
      </c>
      <c r="J280" s="75"/>
      <c r="K280" s="73"/>
      <c r="L280" s="136">
        <f t="shared" si="92"/>
        <v>0</v>
      </c>
      <c r="M280" s="75"/>
      <c r="N280" s="73"/>
      <c r="O280" s="74">
        <f t="shared" si="93"/>
        <v>0</v>
      </c>
      <c r="P280" s="187"/>
      <c r="Q280" s="171">
        <f t="shared" si="85"/>
        <v>0</v>
      </c>
      <c r="R280" s="171"/>
      <c r="S280" s="168" t="e">
        <f t="shared" si="94"/>
        <v>#DIV/0!</v>
      </c>
    </row>
    <row r="281" spans="1:19" ht="12.75">
      <c r="A281" s="35" t="s">
        <v>250</v>
      </c>
      <c r="B281" s="55">
        <v>33160</v>
      </c>
      <c r="C281" s="75"/>
      <c r="D281" s="73">
        <f>169.7</f>
        <v>169.7</v>
      </c>
      <c r="E281" s="73"/>
      <c r="F281" s="74">
        <f t="shared" si="90"/>
        <v>169.7</v>
      </c>
      <c r="G281" s="75"/>
      <c r="H281" s="73"/>
      <c r="I281" s="74">
        <f t="shared" si="91"/>
        <v>169.7</v>
      </c>
      <c r="J281" s="75">
        <f>-73.99</f>
        <v>-73.99</v>
      </c>
      <c r="K281" s="73"/>
      <c r="L281" s="136">
        <f t="shared" si="92"/>
        <v>95.71</v>
      </c>
      <c r="M281" s="75">
        <f>-3.8+114.3</f>
        <v>110.5</v>
      </c>
      <c r="N281" s="73"/>
      <c r="O281" s="74">
        <f t="shared" si="93"/>
        <v>206.20999999999998</v>
      </c>
      <c r="P281" s="187">
        <f>-15.07</f>
        <v>-15.07</v>
      </c>
      <c r="Q281" s="171">
        <f t="shared" si="85"/>
        <v>191.14</v>
      </c>
      <c r="R281" s="171">
        <v>191.14</v>
      </c>
      <c r="S281" s="168">
        <f t="shared" si="94"/>
        <v>100</v>
      </c>
    </row>
    <row r="282" spans="1:19" ht="13.5" thickBot="1">
      <c r="A282" s="237" t="s">
        <v>333</v>
      </c>
      <c r="B282" s="238">
        <v>33040</v>
      </c>
      <c r="C282" s="233"/>
      <c r="D282" s="234"/>
      <c r="E282" s="234"/>
      <c r="F282" s="235">
        <f t="shared" si="90"/>
        <v>0</v>
      </c>
      <c r="G282" s="233">
        <f>100+22</f>
        <v>122</v>
      </c>
      <c r="H282" s="234"/>
      <c r="I282" s="235">
        <f t="shared" si="91"/>
        <v>122</v>
      </c>
      <c r="J282" s="233"/>
      <c r="K282" s="234"/>
      <c r="L282" s="236">
        <f t="shared" si="92"/>
        <v>122</v>
      </c>
      <c r="M282" s="233"/>
      <c r="N282" s="234"/>
      <c r="O282" s="235">
        <f t="shared" si="93"/>
        <v>122</v>
      </c>
      <c r="P282" s="205"/>
      <c r="Q282" s="164">
        <f t="shared" si="85"/>
        <v>122</v>
      </c>
      <c r="R282" s="164">
        <v>122</v>
      </c>
      <c r="S282" s="184">
        <f t="shared" si="94"/>
        <v>100</v>
      </c>
    </row>
    <row r="283" spans="1:19" ht="12.75" hidden="1">
      <c r="A283" s="35" t="s">
        <v>169</v>
      </c>
      <c r="B283" s="55"/>
      <c r="C283" s="75"/>
      <c r="D283" s="73"/>
      <c r="E283" s="73"/>
      <c r="F283" s="74">
        <f t="shared" si="90"/>
        <v>0</v>
      </c>
      <c r="G283" s="75"/>
      <c r="H283" s="73"/>
      <c r="I283" s="74">
        <f t="shared" si="91"/>
        <v>0</v>
      </c>
      <c r="J283" s="75"/>
      <c r="K283" s="73"/>
      <c r="L283" s="136">
        <f t="shared" si="92"/>
        <v>0</v>
      </c>
      <c r="M283" s="75"/>
      <c r="N283" s="73"/>
      <c r="O283" s="74">
        <f t="shared" si="93"/>
        <v>0</v>
      </c>
      <c r="P283" s="187"/>
      <c r="Q283" s="171">
        <f t="shared" si="85"/>
        <v>0</v>
      </c>
      <c r="R283" s="171"/>
      <c r="S283" s="168" t="e">
        <f t="shared" si="94"/>
        <v>#DIV/0!</v>
      </c>
    </row>
    <row r="284" spans="1:19" ht="12.75" hidden="1">
      <c r="A284" s="35" t="s">
        <v>187</v>
      </c>
      <c r="B284" s="55"/>
      <c r="C284" s="75"/>
      <c r="D284" s="73"/>
      <c r="E284" s="73"/>
      <c r="F284" s="74">
        <f t="shared" si="90"/>
        <v>0</v>
      </c>
      <c r="G284" s="75"/>
      <c r="H284" s="73"/>
      <c r="I284" s="74">
        <f t="shared" si="91"/>
        <v>0</v>
      </c>
      <c r="J284" s="75"/>
      <c r="K284" s="73"/>
      <c r="L284" s="136">
        <f t="shared" si="92"/>
        <v>0</v>
      </c>
      <c r="M284" s="75"/>
      <c r="N284" s="73"/>
      <c r="O284" s="74">
        <f t="shared" si="93"/>
        <v>0</v>
      </c>
      <c r="P284" s="187"/>
      <c r="Q284" s="171">
        <f t="shared" si="85"/>
        <v>0</v>
      </c>
      <c r="R284" s="171"/>
      <c r="S284" s="168" t="e">
        <f t="shared" si="94"/>
        <v>#DIV/0!</v>
      </c>
    </row>
    <row r="285" spans="1:19" ht="12.75">
      <c r="A285" s="17" t="s">
        <v>112</v>
      </c>
      <c r="B285" s="55">
        <v>33025</v>
      </c>
      <c r="C285" s="75"/>
      <c r="D285" s="73"/>
      <c r="E285" s="73"/>
      <c r="F285" s="74">
        <f t="shared" si="90"/>
        <v>0</v>
      </c>
      <c r="G285" s="75">
        <f>382.3+16.2</f>
        <v>398.5</v>
      </c>
      <c r="H285" s="73"/>
      <c r="I285" s="74">
        <f t="shared" si="91"/>
        <v>398.5</v>
      </c>
      <c r="J285" s="75"/>
      <c r="K285" s="73"/>
      <c r="L285" s="136">
        <f t="shared" si="92"/>
        <v>398.5</v>
      </c>
      <c r="M285" s="75"/>
      <c r="N285" s="73"/>
      <c r="O285" s="74">
        <f t="shared" si="93"/>
        <v>398.5</v>
      </c>
      <c r="P285" s="187"/>
      <c r="Q285" s="171">
        <f t="shared" si="85"/>
        <v>398.5</v>
      </c>
      <c r="R285" s="171">
        <v>398.5</v>
      </c>
      <c r="S285" s="168">
        <f t="shared" si="94"/>
        <v>100</v>
      </c>
    </row>
    <row r="286" spans="1:19" ht="12.75">
      <c r="A286" s="17" t="s">
        <v>225</v>
      </c>
      <c r="B286" s="55">
        <v>33038</v>
      </c>
      <c r="C286" s="75"/>
      <c r="D286" s="73"/>
      <c r="E286" s="73"/>
      <c r="F286" s="74">
        <f t="shared" si="90"/>
        <v>0</v>
      </c>
      <c r="G286" s="75">
        <v>1275.8</v>
      </c>
      <c r="H286" s="73"/>
      <c r="I286" s="74">
        <f t="shared" si="91"/>
        <v>1275.8</v>
      </c>
      <c r="J286" s="75"/>
      <c r="K286" s="73"/>
      <c r="L286" s="136">
        <f t="shared" si="92"/>
        <v>1275.8</v>
      </c>
      <c r="M286" s="75"/>
      <c r="N286" s="73"/>
      <c r="O286" s="74">
        <f t="shared" si="93"/>
        <v>1275.8</v>
      </c>
      <c r="P286" s="187"/>
      <c r="Q286" s="171">
        <f t="shared" si="85"/>
        <v>1275.8</v>
      </c>
      <c r="R286" s="171">
        <v>1275.8</v>
      </c>
      <c r="S286" s="168">
        <f t="shared" si="94"/>
        <v>100</v>
      </c>
    </row>
    <row r="287" spans="1:19" ht="12.75">
      <c r="A287" s="17" t="s">
        <v>353</v>
      </c>
      <c r="B287" s="55">
        <v>33058</v>
      </c>
      <c r="C287" s="75"/>
      <c r="D287" s="73"/>
      <c r="E287" s="73"/>
      <c r="F287" s="74">
        <f t="shared" si="90"/>
        <v>0</v>
      </c>
      <c r="G287" s="75"/>
      <c r="H287" s="73"/>
      <c r="I287" s="74">
        <f t="shared" si="91"/>
        <v>0</v>
      </c>
      <c r="J287" s="75">
        <f>30889.26</f>
        <v>30889.26</v>
      </c>
      <c r="K287" s="73"/>
      <c r="L287" s="136">
        <f t="shared" si="92"/>
        <v>30889.26</v>
      </c>
      <c r="M287" s="75">
        <f>-1765.57+3631.08</f>
        <v>1865.51</v>
      </c>
      <c r="N287" s="73"/>
      <c r="O287" s="74">
        <f t="shared" si="93"/>
        <v>32754.769999999997</v>
      </c>
      <c r="P287" s="187"/>
      <c r="Q287" s="171">
        <f t="shared" si="85"/>
        <v>32754.769999999997</v>
      </c>
      <c r="R287" s="171">
        <v>32754.77</v>
      </c>
      <c r="S287" s="168">
        <f t="shared" si="94"/>
        <v>100.00000000000003</v>
      </c>
    </row>
    <row r="288" spans="1:19" ht="12.75" hidden="1">
      <c r="A288" s="17" t="s">
        <v>224</v>
      </c>
      <c r="B288" s="55">
        <v>33031</v>
      </c>
      <c r="C288" s="75"/>
      <c r="D288" s="73"/>
      <c r="E288" s="73"/>
      <c r="F288" s="74">
        <f t="shared" si="90"/>
        <v>0</v>
      </c>
      <c r="G288" s="75"/>
      <c r="H288" s="73"/>
      <c r="I288" s="74">
        <f t="shared" si="91"/>
        <v>0</v>
      </c>
      <c r="J288" s="75"/>
      <c r="K288" s="73"/>
      <c r="L288" s="136">
        <f t="shared" si="92"/>
        <v>0</v>
      </c>
      <c r="M288" s="75"/>
      <c r="N288" s="73"/>
      <c r="O288" s="74"/>
      <c r="P288" s="187"/>
      <c r="Q288" s="171"/>
      <c r="R288" s="171"/>
      <c r="S288" s="168" t="e">
        <f t="shared" si="94"/>
        <v>#DIV/0!</v>
      </c>
    </row>
    <row r="289" spans="1:19" ht="12.75">
      <c r="A289" s="17" t="s">
        <v>348</v>
      </c>
      <c r="B289" s="55">
        <v>33019</v>
      </c>
      <c r="C289" s="75"/>
      <c r="D289" s="73"/>
      <c r="E289" s="73"/>
      <c r="F289" s="74">
        <f t="shared" si="90"/>
        <v>0</v>
      </c>
      <c r="G289" s="75"/>
      <c r="H289" s="73"/>
      <c r="I289" s="74">
        <f t="shared" si="91"/>
        <v>0</v>
      </c>
      <c r="J289" s="75">
        <f>5612.72</f>
        <v>5612.72</v>
      </c>
      <c r="K289" s="73"/>
      <c r="L289" s="136">
        <f t="shared" si="92"/>
        <v>5612.72</v>
      </c>
      <c r="M289" s="75">
        <f>7026.01</f>
        <v>7026.01</v>
      </c>
      <c r="N289" s="73"/>
      <c r="O289" s="74">
        <f t="shared" si="93"/>
        <v>12638.73</v>
      </c>
      <c r="P289" s="187">
        <f>-1361.38</f>
        <v>-1361.38</v>
      </c>
      <c r="Q289" s="171">
        <f t="shared" si="85"/>
        <v>11277.349999999999</v>
      </c>
      <c r="R289" s="171">
        <v>11277.35</v>
      </c>
      <c r="S289" s="168">
        <f t="shared" si="94"/>
        <v>100.00000000000003</v>
      </c>
    </row>
    <row r="290" spans="1:19" ht="12.75" hidden="1">
      <c r="A290" s="17" t="s">
        <v>113</v>
      </c>
      <c r="B290" s="55"/>
      <c r="C290" s="75"/>
      <c r="D290" s="73"/>
      <c r="E290" s="73"/>
      <c r="F290" s="74">
        <f t="shared" si="90"/>
        <v>0</v>
      </c>
      <c r="G290" s="75"/>
      <c r="H290" s="73"/>
      <c r="I290" s="74">
        <f t="shared" si="91"/>
        <v>0</v>
      </c>
      <c r="J290" s="75"/>
      <c r="K290" s="73"/>
      <c r="L290" s="136">
        <f t="shared" si="92"/>
        <v>0</v>
      </c>
      <c r="M290" s="75"/>
      <c r="N290" s="73"/>
      <c r="O290" s="74">
        <f t="shared" si="93"/>
        <v>0</v>
      </c>
      <c r="P290" s="187"/>
      <c r="Q290" s="171">
        <f t="shared" si="85"/>
        <v>0</v>
      </c>
      <c r="R290" s="171"/>
      <c r="S290" s="168" t="e">
        <f t="shared" si="94"/>
        <v>#DIV/0!</v>
      </c>
    </row>
    <row r="291" spans="1:19" ht="12.75">
      <c r="A291" s="17" t="s">
        <v>98</v>
      </c>
      <c r="B291" s="55"/>
      <c r="C291" s="75"/>
      <c r="D291" s="73">
        <f>626.75</f>
        <v>626.75</v>
      </c>
      <c r="E291" s="73"/>
      <c r="F291" s="74">
        <f t="shared" si="90"/>
        <v>626.75</v>
      </c>
      <c r="G291" s="75">
        <f>454.4+135</f>
        <v>589.4</v>
      </c>
      <c r="H291" s="73"/>
      <c r="I291" s="74">
        <f t="shared" si="91"/>
        <v>1216.15</v>
      </c>
      <c r="J291" s="75">
        <f>1022</f>
        <v>1022</v>
      </c>
      <c r="K291" s="73"/>
      <c r="L291" s="136">
        <f t="shared" si="92"/>
        <v>2238.15</v>
      </c>
      <c r="M291" s="89">
        <f>-45.4</f>
        <v>-45.4</v>
      </c>
      <c r="N291" s="73"/>
      <c r="O291" s="74">
        <f t="shared" si="93"/>
        <v>2192.75</v>
      </c>
      <c r="P291" s="187"/>
      <c r="Q291" s="171">
        <f t="shared" si="85"/>
        <v>2192.75</v>
      </c>
      <c r="R291" s="171">
        <v>0</v>
      </c>
      <c r="S291" s="168">
        <f t="shared" si="94"/>
        <v>0</v>
      </c>
    </row>
    <row r="292" spans="1:19" ht="12.75">
      <c r="A292" s="17" t="s">
        <v>67</v>
      </c>
      <c r="B292" s="55"/>
      <c r="C292" s="75">
        <v>22949</v>
      </c>
      <c r="D292" s="73">
        <f>843.95-4784+1470</f>
        <v>-2470.05</v>
      </c>
      <c r="E292" s="73"/>
      <c r="F292" s="74">
        <f t="shared" si="90"/>
        <v>20478.95</v>
      </c>
      <c r="G292" s="75">
        <f>-2475.1-148.7+100</f>
        <v>-2523.7999999999997</v>
      </c>
      <c r="H292" s="73"/>
      <c r="I292" s="74">
        <f t="shared" si="91"/>
        <v>17955.15</v>
      </c>
      <c r="J292" s="75">
        <f>-3735.1-5662.5+15</f>
        <v>-9382.6</v>
      </c>
      <c r="K292" s="73"/>
      <c r="L292" s="136">
        <f t="shared" si="92"/>
        <v>8572.550000000001</v>
      </c>
      <c r="M292" s="89">
        <f>-2441.5-2679.9+1428.6</f>
        <v>-3692.7999999999997</v>
      </c>
      <c r="N292" s="73"/>
      <c r="O292" s="74">
        <f t="shared" si="93"/>
        <v>4879.750000000002</v>
      </c>
      <c r="P292" s="187">
        <f>-240</f>
        <v>-240</v>
      </c>
      <c r="Q292" s="171">
        <f t="shared" si="85"/>
        <v>4639.750000000002</v>
      </c>
      <c r="R292" s="171">
        <v>4621.13</v>
      </c>
      <c r="S292" s="168">
        <f t="shared" si="94"/>
        <v>99.59868527399102</v>
      </c>
    </row>
    <row r="293" spans="1:19" ht="12.75">
      <c r="A293" s="20" t="s">
        <v>70</v>
      </c>
      <c r="B293" s="59"/>
      <c r="C293" s="85">
        <f aca="true" t="shared" si="95" ref="C293:Q293">SUM(C295:C300)</f>
        <v>0</v>
      </c>
      <c r="D293" s="86">
        <f t="shared" si="95"/>
        <v>1680</v>
      </c>
      <c r="E293" s="86"/>
      <c r="F293" s="87">
        <f t="shared" si="95"/>
        <v>1680</v>
      </c>
      <c r="G293" s="85">
        <f t="shared" si="95"/>
        <v>191.8</v>
      </c>
      <c r="H293" s="86">
        <f t="shared" si="95"/>
        <v>0</v>
      </c>
      <c r="I293" s="87">
        <f t="shared" si="95"/>
        <v>1871.8</v>
      </c>
      <c r="J293" s="85">
        <f t="shared" si="95"/>
        <v>699</v>
      </c>
      <c r="K293" s="86">
        <f t="shared" si="95"/>
        <v>0</v>
      </c>
      <c r="L293" s="141">
        <f t="shared" si="95"/>
        <v>2570.8</v>
      </c>
      <c r="M293" s="85">
        <f t="shared" si="95"/>
        <v>2236.6000000000004</v>
      </c>
      <c r="N293" s="86">
        <f t="shared" si="95"/>
        <v>0</v>
      </c>
      <c r="O293" s="87">
        <f t="shared" si="95"/>
        <v>4807.400000000001</v>
      </c>
      <c r="P293" s="194">
        <f t="shared" si="95"/>
        <v>-188.4</v>
      </c>
      <c r="Q293" s="177">
        <f t="shared" si="95"/>
        <v>4619</v>
      </c>
      <c r="R293" s="177">
        <f>SUM(R295:R300)</f>
        <v>4619</v>
      </c>
      <c r="S293" s="214">
        <f t="shared" si="94"/>
        <v>100</v>
      </c>
    </row>
    <row r="294" spans="1:19" ht="12.75">
      <c r="A294" s="15" t="s">
        <v>35</v>
      </c>
      <c r="B294" s="55"/>
      <c r="C294" s="75"/>
      <c r="D294" s="73"/>
      <c r="E294" s="73"/>
      <c r="F294" s="74"/>
      <c r="G294" s="75"/>
      <c r="H294" s="73"/>
      <c r="I294" s="72"/>
      <c r="J294" s="75"/>
      <c r="K294" s="73"/>
      <c r="L294" s="138"/>
      <c r="M294" s="75"/>
      <c r="N294" s="73"/>
      <c r="O294" s="72"/>
      <c r="P294" s="187"/>
      <c r="Q294" s="171"/>
      <c r="R294" s="171"/>
      <c r="S294" s="168"/>
    </row>
    <row r="295" spans="1:19" ht="12.75">
      <c r="A295" s="17" t="s">
        <v>114</v>
      </c>
      <c r="B295" s="55"/>
      <c r="C295" s="75"/>
      <c r="D295" s="73"/>
      <c r="E295" s="73"/>
      <c r="F295" s="74">
        <f aca="true" t="shared" si="96" ref="F295:F300">C295+D295+E295</f>
        <v>0</v>
      </c>
      <c r="G295" s="75">
        <f>191.8</f>
        <v>191.8</v>
      </c>
      <c r="H295" s="73"/>
      <c r="I295" s="74">
        <f aca="true" t="shared" si="97" ref="I295:I300">F295+G295+H295</f>
        <v>191.8</v>
      </c>
      <c r="J295" s="75">
        <f>699</f>
        <v>699</v>
      </c>
      <c r="K295" s="73"/>
      <c r="L295" s="136">
        <f aca="true" t="shared" si="98" ref="L295:L300">I295+J295+K295</f>
        <v>890.8</v>
      </c>
      <c r="M295" s="75">
        <f>1106.2+1130.4</f>
        <v>2236.6000000000004</v>
      </c>
      <c r="N295" s="73"/>
      <c r="O295" s="74">
        <f aca="true" t="shared" si="99" ref="O295:O300">L295+M295+N295</f>
        <v>3127.4000000000005</v>
      </c>
      <c r="P295" s="187">
        <f>-188.4</f>
        <v>-188.4</v>
      </c>
      <c r="Q295" s="171">
        <f t="shared" si="85"/>
        <v>2939.0000000000005</v>
      </c>
      <c r="R295" s="171">
        <v>2939</v>
      </c>
      <c r="S295" s="168">
        <f t="shared" si="94"/>
        <v>99.99999999999999</v>
      </c>
    </row>
    <row r="296" spans="1:19" ht="12.75" hidden="1">
      <c r="A296" s="17" t="s">
        <v>87</v>
      </c>
      <c r="B296" s="55"/>
      <c r="C296" s="75"/>
      <c r="D296" s="73"/>
      <c r="E296" s="73"/>
      <c r="F296" s="74">
        <f t="shared" si="96"/>
        <v>0</v>
      </c>
      <c r="G296" s="75"/>
      <c r="H296" s="73"/>
      <c r="I296" s="74">
        <f t="shared" si="97"/>
        <v>0</v>
      </c>
      <c r="J296" s="75"/>
      <c r="K296" s="73"/>
      <c r="L296" s="136">
        <f t="shared" si="98"/>
        <v>0</v>
      </c>
      <c r="M296" s="75"/>
      <c r="N296" s="73"/>
      <c r="O296" s="74">
        <f t="shared" si="99"/>
        <v>0</v>
      </c>
      <c r="P296" s="187"/>
      <c r="Q296" s="171">
        <f t="shared" si="85"/>
        <v>0</v>
      </c>
      <c r="R296" s="171"/>
      <c r="S296" s="168" t="e">
        <f t="shared" si="94"/>
        <v>#DIV/0!</v>
      </c>
    </row>
    <row r="297" spans="1:19" ht="12.75" hidden="1">
      <c r="A297" s="17" t="s">
        <v>115</v>
      </c>
      <c r="B297" s="55"/>
      <c r="C297" s="75"/>
      <c r="D297" s="73"/>
      <c r="E297" s="73"/>
      <c r="F297" s="74">
        <f t="shared" si="96"/>
        <v>0</v>
      </c>
      <c r="G297" s="75"/>
      <c r="H297" s="73"/>
      <c r="I297" s="74">
        <f t="shared" si="97"/>
        <v>0</v>
      </c>
      <c r="J297" s="75"/>
      <c r="K297" s="73"/>
      <c r="L297" s="136">
        <f t="shared" si="98"/>
        <v>0</v>
      </c>
      <c r="M297" s="75"/>
      <c r="N297" s="73"/>
      <c r="O297" s="74">
        <f t="shared" si="99"/>
        <v>0</v>
      </c>
      <c r="P297" s="187"/>
      <c r="Q297" s="171">
        <f>O297+P297</f>
        <v>0</v>
      </c>
      <c r="R297" s="171"/>
      <c r="S297" s="168" t="e">
        <f t="shared" si="94"/>
        <v>#DIV/0!</v>
      </c>
    </row>
    <row r="298" spans="1:19" ht="12.75" hidden="1">
      <c r="A298" s="35" t="s">
        <v>185</v>
      </c>
      <c r="B298" s="55">
        <v>33910</v>
      </c>
      <c r="C298" s="75"/>
      <c r="D298" s="73"/>
      <c r="E298" s="73"/>
      <c r="F298" s="74">
        <f t="shared" si="96"/>
        <v>0</v>
      </c>
      <c r="G298" s="75"/>
      <c r="H298" s="73"/>
      <c r="I298" s="74">
        <f t="shared" si="97"/>
        <v>0</v>
      </c>
      <c r="J298" s="75"/>
      <c r="K298" s="73"/>
      <c r="L298" s="136">
        <f t="shared" si="98"/>
        <v>0</v>
      </c>
      <c r="M298" s="75"/>
      <c r="N298" s="73"/>
      <c r="O298" s="74">
        <f t="shared" si="99"/>
        <v>0</v>
      </c>
      <c r="P298" s="187"/>
      <c r="Q298" s="171">
        <f>O298+P298</f>
        <v>0</v>
      </c>
      <c r="R298" s="171"/>
      <c r="S298" s="168" t="e">
        <f t="shared" si="94"/>
        <v>#DIV/0!</v>
      </c>
    </row>
    <row r="299" spans="1:19" ht="12.75">
      <c r="A299" s="24" t="s">
        <v>71</v>
      </c>
      <c r="B299" s="58"/>
      <c r="C299" s="83"/>
      <c r="D299" s="84">
        <v>1680</v>
      </c>
      <c r="E299" s="84"/>
      <c r="F299" s="121">
        <f t="shared" si="96"/>
        <v>1680</v>
      </c>
      <c r="G299" s="83"/>
      <c r="H299" s="84"/>
      <c r="I299" s="121">
        <f t="shared" si="97"/>
        <v>1680</v>
      </c>
      <c r="J299" s="83"/>
      <c r="K299" s="151"/>
      <c r="L299" s="150">
        <f t="shared" si="98"/>
        <v>1680</v>
      </c>
      <c r="M299" s="83"/>
      <c r="N299" s="84"/>
      <c r="O299" s="121">
        <f t="shared" si="99"/>
        <v>1680</v>
      </c>
      <c r="P299" s="195"/>
      <c r="Q299" s="207">
        <f>O299+P299</f>
        <v>1680</v>
      </c>
      <c r="R299" s="207">
        <v>1680</v>
      </c>
      <c r="S299" s="215">
        <f t="shared" si="94"/>
        <v>100</v>
      </c>
    </row>
    <row r="300" spans="1:19" ht="12.75" hidden="1">
      <c r="A300" s="24" t="s">
        <v>98</v>
      </c>
      <c r="B300" s="58"/>
      <c r="C300" s="83"/>
      <c r="D300" s="84"/>
      <c r="E300" s="84"/>
      <c r="F300" s="121">
        <f t="shared" si="96"/>
        <v>0</v>
      </c>
      <c r="G300" s="83"/>
      <c r="H300" s="84"/>
      <c r="I300" s="121">
        <f t="shared" si="97"/>
        <v>0</v>
      </c>
      <c r="J300" s="83"/>
      <c r="K300" s="151"/>
      <c r="L300" s="150">
        <f t="shared" si="98"/>
        <v>0</v>
      </c>
      <c r="M300" s="83"/>
      <c r="N300" s="84"/>
      <c r="O300" s="121">
        <f t="shared" si="99"/>
        <v>0</v>
      </c>
      <c r="P300" s="195"/>
      <c r="Q300" s="207">
        <f>O300+P300</f>
        <v>0</v>
      </c>
      <c r="R300" s="171"/>
      <c r="S300" s="168" t="e">
        <f t="shared" si="94"/>
        <v>#DIV/0!</v>
      </c>
    </row>
    <row r="301" spans="1:19" ht="12.75">
      <c r="A301" s="10" t="s">
        <v>116</v>
      </c>
      <c r="B301" s="59"/>
      <c r="C301" s="70">
        <f aca="true" t="shared" si="100" ref="C301:O301">C302+C315</f>
        <v>413966.5</v>
      </c>
      <c r="D301" s="71">
        <f t="shared" si="100"/>
        <v>20604.84</v>
      </c>
      <c r="E301" s="71">
        <f t="shared" si="100"/>
        <v>25347.55</v>
      </c>
      <c r="F301" s="72">
        <f t="shared" si="100"/>
        <v>459918.8899999999</v>
      </c>
      <c r="G301" s="70">
        <f t="shared" si="100"/>
        <v>3834.11</v>
      </c>
      <c r="H301" s="71">
        <f t="shared" si="100"/>
        <v>0</v>
      </c>
      <c r="I301" s="72">
        <f t="shared" si="100"/>
        <v>463752.9999999999</v>
      </c>
      <c r="J301" s="70">
        <f t="shared" si="100"/>
        <v>19597.58</v>
      </c>
      <c r="K301" s="71">
        <f t="shared" si="100"/>
        <v>3800</v>
      </c>
      <c r="L301" s="138">
        <f t="shared" si="100"/>
        <v>487150.57999999996</v>
      </c>
      <c r="M301" s="70">
        <f t="shared" si="100"/>
        <v>47628.350000000006</v>
      </c>
      <c r="N301" s="71">
        <f t="shared" si="100"/>
        <v>-23600</v>
      </c>
      <c r="O301" s="72">
        <f t="shared" si="100"/>
        <v>511178.93000000005</v>
      </c>
      <c r="P301" s="188">
        <f>P302+P315</f>
        <v>30094.75</v>
      </c>
      <c r="Q301" s="172">
        <f>Q302+Q315</f>
        <v>541273.6799999999</v>
      </c>
      <c r="R301" s="172">
        <f>R302+R315</f>
        <v>518835.36</v>
      </c>
      <c r="S301" s="165">
        <f t="shared" si="94"/>
        <v>95.8545333296088</v>
      </c>
    </row>
    <row r="302" spans="1:19" ht="12.75">
      <c r="A302" s="19" t="s">
        <v>64</v>
      </c>
      <c r="B302" s="59"/>
      <c r="C302" s="80">
        <f aca="true" t="shared" si="101" ref="C302:O302">SUM(C304:C314)</f>
        <v>413966.5</v>
      </c>
      <c r="D302" s="81">
        <f t="shared" si="101"/>
        <v>20204.84</v>
      </c>
      <c r="E302" s="81">
        <f t="shared" si="101"/>
        <v>25347.55</v>
      </c>
      <c r="F302" s="82">
        <f t="shared" si="101"/>
        <v>459518.8899999999</v>
      </c>
      <c r="G302" s="80">
        <f t="shared" si="101"/>
        <v>1342.98</v>
      </c>
      <c r="H302" s="81">
        <f t="shared" si="101"/>
        <v>-50000</v>
      </c>
      <c r="I302" s="82">
        <f t="shared" si="101"/>
        <v>410861.8699999999</v>
      </c>
      <c r="J302" s="80">
        <f t="shared" si="101"/>
        <v>7212.49</v>
      </c>
      <c r="K302" s="81">
        <f t="shared" si="101"/>
        <v>0</v>
      </c>
      <c r="L302" s="140">
        <f t="shared" si="101"/>
        <v>418074.3599999999</v>
      </c>
      <c r="M302" s="80">
        <f t="shared" si="101"/>
        <v>1366.8899999999999</v>
      </c>
      <c r="N302" s="81">
        <f t="shared" si="101"/>
        <v>-24676.9</v>
      </c>
      <c r="O302" s="82">
        <f t="shared" si="101"/>
        <v>394764.35000000003</v>
      </c>
      <c r="P302" s="193">
        <f>SUM(P304:P314)</f>
        <v>-870.8399999999999</v>
      </c>
      <c r="Q302" s="176">
        <f>SUM(Q304:Q314)</f>
        <v>393893.51</v>
      </c>
      <c r="R302" s="176">
        <f>SUM(R304:R314)</f>
        <v>371455.19</v>
      </c>
      <c r="S302" s="214">
        <f t="shared" si="94"/>
        <v>94.30345526637389</v>
      </c>
    </row>
    <row r="303" spans="1:19" ht="12.75">
      <c r="A303" s="15" t="s">
        <v>35</v>
      </c>
      <c r="B303" s="55"/>
      <c r="C303" s="75"/>
      <c r="D303" s="73"/>
      <c r="E303" s="73"/>
      <c r="F303" s="72"/>
      <c r="G303" s="75"/>
      <c r="H303" s="73"/>
      <c r="I303" s="72"/>
      <c r="J303" s="75"/>
      <c r="K303" s="73"/>
      <c r="L303" s="138"/>
      <c r="M303" s="75"/>
      <c r="N303" s="73"/>
      <c r="O303" s="72"/>
      <c r="P303" s="187"/>
      <c r="Q303" s="171"/>
      <c r="R303" s="171"/>
      <c r="S303" s="168"/>
    </row>
    <row r="304" spans="1:19" ht="12.75">
      <c r="A304" s="12" t="s">
        <v>95</v>
      </c>
      <c r="B304" s="55"/>
      <c r="C304" s="75">
        <v>223616</v>
      </c>
      <c r="D304" s="73"/>
      <c r="E304" s="73"/>
      <c r="F304" s="74">
        <f aca="true" t="shared" si="102" ref="F304:F314">C304+D304+E304</f>
        <v>223616</v>
      </c>
      <c r="G304" s="75"/>
      <c r="H304" s="73"/>
      <c r="I304" s="74">
        <f aca="true" t="shared" si="103" ref="I304:I314">F304+G304+H304</f>
        <v>223616</v>
      </c>
      <c r="J304" s="75">
        <v>50</v>
      </c>
      <c r="K304" s="73"/>
      <c r="L304" s="136">
        <f aca="true" t="shared" si="104" ref="L304:L314">I304+J304+K304</f>
        <v>223666</v>
      </c>
      <c r="M304" s="75"/>
      <c r="N304" s="73">
        <f>-24300</f>
        <v>-24300</v>
      </c>
      <c r="O304" s="74">
        <f aca="true" t="shared" si="105" ref="O304:O314">L304+M304+N304</f>
        <v>199366</v>
      </c>
      <c r="P304" s="187"/>
      <c r="Q304" s="171">
        <f>O304+P304</f>
        <v>199366</v>
      </c>
      <c r="R304" s="171">
        <v>199366</v>
      </c>
      <c r="S304" s="168">
        <f t="shared" si="94"/>
        <v>100</v>
      </c>
    </row>
    <row r="305" spans="1:19" ht="12.75">
      <c r="A305" s="17" t="s">
        <v>82</v>
      </c>
      <c r="B305" s="55"/>
      <c r="C305" s="75">
        <v>126000</v>
      </c>
      <c r="D305" s="73"/>
      <c r="E305" s="73">
        <v>25347.55</v>
      </c>
      <c r="F305" s="74">
        <f t="shared" si="102"/>
        <v>151347.55</v>
      </c>
      <c r="G305" s="75"/>
      <c r="H305" s="73"/>
      <c r="I305" s="74">
        <f t="shared" si="103"/>
        <v>151347.55</v>
      </c>
      <c r="J305" s="75"/>
      <c r="K305" s="73"/>
      <c r="L305" s="136">
        <f t="shared" si="104"/>
        <v>151347.55</v>
      </c>
      <c r="M305" s="75"/>
      <c r="N305" s="73"/>
      <c r="O305" s="74">
        <f t="shared" si="105"/>
        <v>151347.55</v>
      </c>
      <c r="P305" s="187"/>
      <c r="Q305" s="171">
        <f>O305+P305</f>
        <v>151347.55</v>
      </c>
      <c r="R305" s="171">
        <v>151347.55</v>
      </c>
      <c r="S305" s="168">
        <f t="shared" si="94"/>
        <v>100</v>
      </c>
    </row>
    <row r="306" spans="1:19" ht="12.75">
      <c r="A306" s="17" t="s">
        <v>236</v>
      </c>
      <c r="B306" s="55"/>
      <c r="C306" s="75">
        <v>50000</v>
      </c>
      <c r="D306" s="73">
        <v>16763.4</v>
      </c>
      <c r="E306" s="73"/>
      <c r="F306" s="74">
        <f t="shared" si="102"/>
        <v>66763.4</v>
      </c>
      <c r="G306" s="75"/>
      <c r="H306" s="73">
        <v>-50000</v>
      </c>
      <c r="I306" s="74">
        <f t="shared" si="103"/>
        <v>16763.399999999994</v>
      </c>
      <c r="J306" s="75"/>
      <c r="K306" s="73"/>
      <c r="L306" s="136">
        <f t="shared" si="104"/>
        <v>16763.399999999994</v>
      </c>
      <c r="M306" s="75"/>
      <c r="N306" s="73">
        <f>-1076.9</f>
        <v>-1076.9</v>
      </c>
      <c r="O306" s="74">
        <f t="shared" si="105"/>
        <v>15686.499999999995</v>
      </c>
      <c r="P306" s="187"/>
      <c r="Q306" s="171">
        <f aca="true" t="shared" si="106" ref="Q306:Q314">O306+P306</f>
        <v>15686.499999999995</v>
      </c>
      <c r="R306" s="171">
        <v>0</v>
      </c>
      <c r="S306" s="168">
        <f t="shared" si="94"/>
        <v>0</v>
      </c>
    </row>
    <row r="307" spans="1:19" ht="12.75">
      <c r="A307" s="17" t="s">
        <v>67</v>
      </c>
      <c r="B307" s="55"/>
      <c r="C307" s="89">
        <v>14350.5</v>
      </c>
      <c r="D307" s="73">
        <f>2632.8</f>
        <v>2632.8</v>
      </c>
      <c r="E307" s="73"/>
      <c r="F307" s="74">
        <f t="shared" si="102"/>
        <v>16983.3</v>
      </c>
      <c r="G307" s="75">
        <f>1185.8</f>
        <v>1185.8</v>
      </c>
      <c r="H307" s="73"/>
      <c r="I307" s="74">
        <f t="shared" si="103"/>
        <v>18169.1</v>
      </c>
      <c r="J307" s="75"/>
      <c r="K307" s="73"/>
      <c r="L307" s="136">
        <f t="shared" si="104"/>
        <v>18169.1</v>
      </c>
      <c r="M307" s="75"/>
      <c r="N307" s="73">
        <f>700</f>
        <v>700</v>
      </c>
      <c r="O307" s="74">
        <f t="shared" si="105"/>
        <v>18869.1</v>
      </c>
      <c r="P307" s="187">
        <f>-79-1185.8</f>
        <v>-1264.8</v>
      </c>
      <c r="Q307" s="171">
        <f t="shared" si="106"/>
        <v>17604.3</v>
      </c>
      <c r="R307" s="171">
        <v>10852.48</v>
      </c>
      <c r="S307" s="168">
        <f t="shared" si="94"/>
        <v>61.64675675829201</v>
      </c>
    </row>
    <row r="308" spans="1:19" ht="12.75">
      <c r="A308" s="17" t="s">
        <v>99</v>
      </c>
      <c r="B308" s="55"/>
      <c r="C308" s="89"/>
      <c r="D308" s="73">
        <f>444</f>
        <v>444</v>
      </c>
      <c r="E308" s="73"/>
      <c r="F308" s="74">
        <f t="shared" si="102"/>
        <v>444</v>
      </c>
      <c r="G308" s="75"/>
      <c r="H308" s="73"/>
      <c r="I308" s="74">
        <f t="shared" si="103"/>
        <v>444</v>
      </c>
      <c r="J308" s="75">
        <f>985.91+2482.8</f>
        <v>3468.71</v>
      </c>
      <c r="K308" s="73"/>
      <c r="L308" s="136">
        <f t="shared" si="104"/>
        <v>3912.71</v>
      </c>
      <c r="M308" s="75">
        <f>1090.82</f>
        <v>1090.82</v>
      </c>
      <c r="N308" s="73"/>
      <c r="O308" s="74">
        <f t="shared" si="105"/>
        <v>5003.53</v>
      </c>
      <c r="P308" s="187">
        <f>629.6-427.87</f>
        <v>201.73000000000002</v>
      </c>
      <c r="Q308" s="171">
        <f t="shared" si="106"/>
        <v>5205.26</v>
      </c>
      <c r="R308" s="171">
        <v>5205.26</v>
      </c>
      <c r="S308" s="168">
        <f t="shared" si="94"/>
        <v>100</v>
      </c>
    </row>
    <row r="309" spans="1:19" ht="12.75" hidden="1">
      <c r="A309" s="17" t="s">
        <v>176</v>
      </c>
      <c r="B309" s="55"/>
      <c r="C309" s="89"/>
      <c r="D309" s="73"/>
      <c r="E309" s="73"/>
      <c r="F309" s="74">
        <f t="shared" si="102"/>
        <v>0</v>
      </c>
      <c r="G309" s="75"/>
      <c r="H309" s="73"/>
      <c r="I309" s="74">
        <f t="shared" si="103"/>
        <v>0</v>
      </c>
      <c r="J309" s="75"/>
      <c r="K309" s="73"/>
      <c r="L309" s="136">
        <f t="shared" si="104"/>
        <v>0</v>
      </c>
      <c r="M309" s="75"/>
      <c r="N309" s="73"/>
      <c r="O309" s="74">
        <f t="shared" si="105"/>
        <v>0</v>
      </c>
      <c r="P309" s="187"/>
      <c r="Q309" s="171">
        <f t="shared" si="106"/>
        <v>0</v>
      </c>
      <c r="R309" s="171"/>
      <c r="S309" s="168" t="e">
        <f t="shared" si="94"/>
        <v>#DIV/0!</v>
      </c>
    </row>
    <row r="310" spans="1:19" ht="12.75">
      <c r="A310" s="17" t="s">
        <v>336</v>
      </c>
      <c r="B310" s="55">
        <v>35050</v>
      </c>
      <c r="C310" s="89"/>
      <c r="D310" s="73"/>
      <c r="E310" s="73"/>
      <c r="F310" s="74">
        <f t="shared" si="102"/>
        <v>0</v>
      </c>
      <c r="G310" s="75">
        <v>38</v>
      </c>
      <c r="H310" s="73"/>
      <c r="I310" s="74">
        <f t="shared" si="103"/>
        <v>38</v>
      </c>
      <c r="J310" s="75"/>
      <c r="K310" s="73"/>
      <c r="L310" s="136">
        <f t="shared" si="104"/>
        <v>38</v>
      </c>
      <c r="M310" s="75"/>
      <c r="N310" s="73"/>
      <c r="O310" s="74">
        <f t="shared" si="105"/>
        <v>38</v>
      </c>
      <c r="P310" s="187"/>
      <c r="Q310" s="171">
        <f t="shared" si="106"/>
        <v>38</v>
      </c>
      <c r="R310" s="171">
        <v>38</v>
      </c>
      <c r="S310" s="168">
        <f t="shared" si="94"/>
        <v>100</v>
      </c>
    </row>
    <row r="311" spans="1:19" ht="12.75">
      <c r="A311" s="17" t="s">
        <v>117</v>
      </c>
      <c r="B311" s="55">
        <v>98335</v>
      </c>
      <c r="C311" s="75"/>
      <c r="D311" s="73">
        <f>169.41</f>
        <v>169.41</v>
      </c>
      <c r="E311" s="73"/>
      <c r="F311" s="74">
        <f t="shared" si="102"/>
        <v>169.41</v>
      </c>
      <c r="G311" s="75"/>
      <c r="H311" s="73"/>
      <c r="I311" s="74">
        <f t="shared" si="103"/>
        <v>169.41</v>
      </c>
      <c r="J311" s="75">
        <f>163.06</f>
        <v>163.06</v>
      </c>
      <c r="K311" s="73"/>
      <c r="L311" s="136">
        <f t="shared" si="104"/>
        <v>332.47</v>
      </c>
      <c r="M311" s="158">
        <f>162.99</f>
        <v>162.99</v>
      </c>
      <c r="N311" s="73"/>
      <c r="O311" s="74">
        <f t="shared" si="105"/>
        <v>495.46000000000004</v>
      </c>
      <c r="P311" s="187">
        <f>167.18</f>
        <v>167.18</v>
      </c>
      <c r="Q311" s="171">
        <f t="shared" si="106"/>
        <v>662.6400000000001</v>
      </c>
      <c r="R311" s="171">
        <v>662.64</v>
      </c>
      <c r="S311" s="168">
        <f t="shared" si="94"/>
        <v>99.99999999999997</v>
      </c>
    </row>
    <row r="312" spans="1:19" ht="12.75" hidden="1">
      <c r="A312" s="17" t="s">
        <v>118</v>
      </c>
      <c r="B312" s="55"/>
      <c r="C312" s="75"/>
      <c r="D312" s="73"/>
      <c r="E312" s="73"/>
      <c r="F312" s="74">
        <f t="shared" si="102"/>
        <v>0</v>
      </c>
      <c r="G312" s="75"/>
      <c r="H312" s="73"/>
      <c r="I312" s="74">
        <f t="shared" si="103"/>
        <v>0</v>
      </c>
      <c r="J312" s="75"/>
      <c r="K312" s="73"/>
      <c r="L312" s="136">
        <f t="shared" si="104"/>
        <v>0</v>
      </c>
      <c r="M312" s="75"/>
      <c r="N312" s="73"/>
      <c r="O312" s="74">
        <f t="shared" si="105"/>
        <v>0</v>
      </c>
      <c r="P312" s="187"/>
      <c r="Q312" s="171">
        <f t="shared" si="106"/>
        <v>0</v>
      </c>
      <c r="R312" s="171"/>
      <c r="S312" s="168" t="e">
        <f t="shared" si="94"/>
        <v>#DIV/0!</v>
      </c>
    </row>
    <row r="313" spans="1:19" ht="12.75">
      <c r="A313" s="17" t="s">
        <v>351</v>
      </c>
      <c r="B313" s="55">
        <v>35018</v>
      </c>
      <c r="C313" s="75"/>
      <c r="D313" s="73"/>
      <c r="E313" s="73"/>
      <c r="F313" s="74"/>
      <c r="G313" s="75"/>
      <c r="H313" s="73"/>
      <c r="I313" s="74">
        <f t="shared" si="103"/>
        <v>0</v>
      </c>
      <c r="J313" s="75">
        <f>3387.9</f>
        <v>3387.9</v>
      </c>
      <c r="K313" s="73"/>
      <c r="L313" s="136">
        <f t="shared" si="104"/>
        <v>3387.9</v>
      </c>
      <c r="M313" s="75"/>
      <c r="N313" s="73"/>
      <c r="O313" s="74">
        <f t="shared" si="105"/>
        <v>3387.9</v>
      </c>
      <c r="P313" s="187"/>
      <c r="Q313" s="171">
        <f t="shared" si="106"/>
        <v>3387.9</v>
      </c>
      <c r="R313" s="171">
        <v>3387.9</v>
      </c>
      <c r="S313" s="168">
        <f t="shared" si="94"/>
        <v>100</v>
      </c>
    </row>
    <row r="314" spans="1:19" ht="12.75">
      <c r="A314" s="17" t="s">
        <v>119</v>
      </c>
      <c r="B314" s="55">
        <v>98297</v>
      </c>
      <c r="C314" s="75"/>
      <c r="D314" s="73">
        <f>195.23</f>
        <v>195.23</v>
      </c>
      <c r="E314" s="73"/>
      <c r="F314" s="74">
        <f t="shared" si="102"/>
        <v>195.23</v>
      </c>
      <c r="G314" s="75">
        <f>119.18</f>
        <v>119.18</v>
      </c>
      <c r="H314" s="73"/>
      <c r="I314" s="74">
        <f t="shared" si="103"/>
        <v>314.40999999999997</v>
      </c>
      <c r="J314" s="75">
        <f>142.82</f>
        <v>142.82</v>
      </c>
      <c r="K314" s="73"/>
      <c r="L314" s="136">
        <f t="shared" si="104"/>
        <v>457.22999999999996</v>
      </c>
      <c r="M314" s="75">
        <f>113.08</f>
        <v>113.08</v>
      </c>
      <c r="N314" s="73"/>
      <c r="O314" s="74">
        <f t="shared" si="105"/>
        <v>570.31</v>
      </c>
      <c r="P314" s="187">
        <f>25.05</f>
        <v>25.05</v>
      </c>
      <c r="Q314" s="171">
        <f t="shared" si="106"/>
        <v>595.3599999999999</v>
      </c>
      <c r="R314" s="171">
        <v>595.36</v>
      </c>
      <c r="S314" s="168">
        <f t="shared" si="94"/>
        <v>100.00000000000003</v>
      </c>
    </row>
    <row r="315" spans="1:19" ht="12.75">
      <c r="A315" s="19" t="s">
        <v>70</v>
      </c>
      <c r="B315" s="59"/>
      <c r="C315" s="80">
        <f aca="true" t="shared" si="107" ref="C315:Q315">SUM(C317:C323)</f>
        <v>0</v>
      </c>
      <c r="D315" s="81">
        <f t="shared" si="107"/>
        <v>400</v>
      </c>
      <c r="E315" s="81">
        <f t="shared" si="107"/>
        <v>0</v>
      </c>
      <c r="F315" s="82">
        <f t="shared" si="107"/>
        <v>400</v>
      </c>
      <c r="G315" s="80">
        <f t="shared" si="107"/>
        <v>2491.13</v>
      </c>
      <c r="H315" s="81">
        <f t="shared" si="107"/>
        <v>50000</v>
      </c>
      <c r="I315" s="82">
        <f t="shared" si="107"/>
        <v>52891.13</v>
      </c>
      <c r="J315" s="80">
        <f t="shared" si="107"/>
        <v>12385.09</v>
      </c>
      <c r="K315" s="81">
        <f t="shared" si="107"/>
        <v>3800</v>
      </c>
      <c r="L315" s="140">
        <f t="shared" si="107"/>
        <v>69076.22</v>
      </c>
      <c r="M315" s="80">
        <f t="shared" si="107"/>
        <v>46261.46000000001</v>
      </c>
      <c r="N315" s="81">
        <f t="shared" si="107"/>
        <v>1076.9</v>
      </c>
      <c r="O315" s="82">
        <f t="shared" si="107"/>
        <v>116414.58</v>
      </c>
      <c r="P315" s="193">
        <f t="shared" si="107"/>
        <v>30965.59</v>
      </c>
      <c r="Q315" s="176">
        <f t="shared" si="107"/>
        <v>147380.16999999998</v>
      </c>
      <c r="R315" s="176">
        <f>SUM(R317:R323)</f>
        <v>147380.16999999998</v>
      </c>
      <c r="S315" s="214">
        <f t="shared" si="94"/>
        <v>100</v>
      </c>
    </row>
    <row r="316" spans="1:19" ht="12.75">
      <c r="A316" s="15" t="s">
        <v>35</v>
      </c>
      <c r="B316" s="55"/>
      <c r="C316" s="75"/>
      <c r="D316" s="73"/>
      <c r="E316" s="73"/>
      <c r="F316" s="74"/>
      <c r="G316" s="75"/>
      <c r="H316" s="73"/>
      <c r="I316" s="74"/>
      <c r="J316" s="75"/>
      <c r="K316" s="73"/>
      <c r="L316" s="136"/>
      <c r="M316" s="75"/>
      <c r="N316" s="73"/>
      <c r="O316" s="74"/>
      <c r="P316" s="187"/>
      <c r="Q316" s="171"/>
      <c r="R316" s="171"/>
      <c r="S316" s="168"/>
    </row>
    <row r="317" spans="1:19" ht="12.75">
      <c r="A317" s="17" t="s">
        <v>71</v>
      </c>
      <c r="B317" s="55"/>
      <c r="C317" s="75"/>
      <c r="D317" s="73"/>
      <c r="E317" s="73"/>
      <c r="F317" s="74">
        <f>C317+D317+E317</f>
        <v>0</v>
      </c>
      <c r="G317" s="75"/>
      <c r="H317" s="73"/>
      <c r="I317" s="74">
        <f aca="true" t="shared" si="108" ref="I317:I323">F317+G317+H317</f>
        <v>0</v>
      </c>
      <c r="J317" s="75"/>
      <c r="K317" s="73">
        <v>3800</v>
      </c>
      <c r="L317" s="136">
        <f aca="true" t="shared" si="109" ref="L317:L323">I317+J317+K317</f>
        <v>3800</v>
      </c>
      <c r="M317" s="75"/>
      <c r="N317" s="73"/>
      <c r="O317" s="74">
        <f aca="true" t="shared" si="110" ref="O317:O323">L317+M317+N317</f>
        <v>3800</v>
      </c>
      <c r="P317" s="187">
        <f>79+1185.8</f>
        <v>1264.8</v>
      </c>
      <c r="Q317" s="171">
        <f>O317+P317</f>
        <v>5064.8</v>
      </c>
      <c r="R317" s="171">
        <v>5064.8</v>
      </c>
      <c r="S317" s="168">
        <f t="shared" si="94"/>
        <v>100</v>
      </c>
    </row>
    <row r="318" spans="1:19" ht="12.75">
      <c r="A318" s="17" t="s">
        <v>343</v>
      </c>
      <c r="B318" s="55"/>
      <c r="C318" s="75"/>
      <c r="D318" s="73"/>
      <c r="E318" s="73"/>
      <c r="F318" s="74"/>
      <c r="G318" s="75"/>
      <c r="H318" s="73">
        <v>50000</v>
      </c>
      <c r="I318" s="74">
        <f t="shared" si="108"/>
        <v>50000</v>
      </c>
      <c r="J318" s="75"/>
      <c r="K318" s="73"/>
      <c r="L318" s="136">
        <f t="shared" si="109"/>
        <v>50000</v>
      </c>
      <c r="M318" s="75"/>
      <c r="N318" s="73"/>
      <c r="O318" s="74">
        <f t="shared" si="110"/>
        <v>50000</v>
      </c>
      <c r="P318" s="187"/>
      <c r="Q318" s="171">
        <f aca="true" t="shared" si="111" ref="Q318:Q323">O318+P318</f>
        <v>50000</v>
      </c>
      <c r="R318" s="171">
        <v>50000</v>
      </c>
      <c r="S318" s="168">
        <f t="shared" si="94"/>
        <v>100</v>
      </c>
    </row>
    <row r="319" spans="1:19" ht="12.75">
      <c r="A319" s="17" t="s">
        <v>366</v>
      </c>
      <c r="B319" s="55"/>
      <c r="C319" s="75"/>
      <c r="D319" s="73"/>
      <c r="E319" s="73"/>
      <c r="F319" s="74"/>
      <c r="G319" s="75"/>
      <c r="H319" s="73"/>
      <c r="I319" s="74"/>
      <c r="J319" s="75"/>
      <c r="K319" s="73"/>
      <c r="L319" s="136">
        <f t="shared" si="109"/>
        <v>0</v>
      </c>
      <c r="M319" s="75"/>
      <c r="N319" s="73">
        <v>1076.9</v>
      </c>
      <c r="O319" s="74">
        <f t="shared" si="110"/>
        <v>1076.9</v>
      </c>
      <c r="P319" s="187"/>
      <c r="Q319" s="171">
        <f t="shared" si="111"/>
        <v>1076.9</v>
      </c>
      <c r="R319" s="171">
        <v>1076.9</v>
      </c>
      <c r="S319" s="168">
        <f t="shared" si="94"/>
        <v>100</v>
      </c>
    </row>
    <row r="320" spans="1:19" ht="12.75">
      <c r="A320" s="17" t="s">
        <v>87</v>
      </c>
      <c r="B320" s="55"/>
      <c r="C320" s="75"/>
      <c r="D320" s="73">
        <v>400</v>
      </c>
      <c r="E320" s="73"/>
      <c r="F320" s="74">
        <f>C320+D320+E320</f>
        <v>400</v>
      </c>
      <c r="G320" s="75"/>
      <c r="H320" s="73"/>
      <c r="I320" s="74">
        <f t="shared" si="108"/>
        <v>400</v>
      </c>
      <c r="J320" s="75"/>
      <c r="K320" s="73"/>
      <c r="L320" s="136">
        <f t="shared" si="109"/>
        <v>400</v>
      </c>
      <c r="M320" s="75"/>
      <c r="N320" s="73"/>
      <c r="O320" s="74">
        <f t="shared" si="110"/>
        <v>400</v>
      </c>
      <c r="P320" s="187"/>
      <c r="Q320" s="171">
        <f t="shared" si="111"/>
        <v>400</v>
      </c>
      <c r="R320" s="171">
        <v>400</v>
      </c>
      <c r="S320" s="168">
        <f t="shared" si="94"/>
        <v>100</v>
      </c>
    </row>
    <row r="321" spans="1:19" ht="12.75">
      <c r="A321" s="22" t="s">
        <v>324</v>
      </c>
      <c r="B321" s="55">
        <v>35963</v>
      </c>
      <c r="C321" s="75"/>
      <c r="D321" s="73"/>
      <c r="E321" s="73"/>
      <c r="F321" s="74">
        <f>C321+D321+E321</f>
        <v>0</v>
      </c>
      <c r="G321" s="75">
        <v>2491.13</v>
      </c>
      <c r="H321" s="73"/>
      <c r="I321" s="74">
        <f t="shared" si="108"/>
        <v>2491.13</v>
      </c>
      <c r="J321" s="75"/>
      <c r="K321" s="73"/>
      <c r="L321" s="136">
        <f t="shared" si="109"/>
        <v>2491.13</v>
      </c>
      <c r="M321" s="75"/>
      <c r="N321" s="73"/>
      <c r="O321" s="74">
        <f t="shared" si="110"/>
        <v>2491.13</v>
      </c>
      <c r="P321" s="187"/>
      <c r="Q321" s="171">
        <f t="shared" si="111"/>
        <v>2491.13</v>
      </c>
      <c r="R321" s="171">
        <v>2491.13</v>
      </c>
      <c r="S321" s="168">
        <f t="shared" si="94"/>
        <v>100</v>
      </c>
    </row>
    <row r="322" spans="1:19" ht="12.75" hidden="1">
      <c r="A322" s="17" t="s">
        <v>176</v>
      </c>
      <c r="B322" s="55"/>
      <c r="C322" s="75"/>
      <c r="D322" s="73"/>
      <c r="E322" s="73"/>
      <c r="F322" s="74">
        <f>C322+D322+E322</f>
        <v>0</v>
      </c>
      <c r="G322" s="75"/>
      <c r="H322" s="73"/>
      <c r="I322" s="74">
        <f t="shared" si="108"/>
        <v>0</v>
      </c>
      <c r="J322" s="75"/>
      <c r="K322" s="73"/>
      <c r="L322" s="136">
        <f t="shared" si="109"/>
        <v>0</v>
      </c>
      <c r="M322" s="83"/>
      <c r="N322" s="84"/>
      <c r="O322" s="121">
        <f t="shared" si="110"/>
        <v>0</v>
      </c>
      <c r="P322" s="195"/>
      <c r="Q322" s="171">
        <f t="shared" si="111"/>
        <v>0</v>
      </c>
      <c r="R322" s="171"/>
      <c r="S322" s="168" t="e">
        <f t="shared" si="94"/>
        <v>#DIV/0!</v>
      </c>
    </row>
    <row r="323" spans="1:19" ht="12.75">
      <c r="A323" s="16" t="s">
        <v>99</v>
      </c>
      <c r="B323" s="58"/>
      <c r="C323" s="83"/>
      <c r="D323" s="84"/>
      <c r="E323" s="84"/>
      <c r="F323" s="121">
        <f>C323+D323+E323</f>
        <v>0</v>
      </c>
      <c r="G323" s="83"/>
      <c r="H323" s="84"/>
      <c r="I323" s="121">
        <f t="shared" si="108"/>
        <v>0</v>
      </c>
      <c r="J323" s="83">
        <f>3204.04+732.81+8448.24</f>
        <v>12385.09</v>
      </c>
      <c r="K323" s="84"/>
      <c r="L323" s="150">
        <f t="shared" si="109"/>
        <v>12385.09</v>
      </c>
      <c r="M323" s="83">
        <f>11237.5+10182.15+3509+7720.4+13491.41+121</f>
        <v>46261.46000000001</v>
      </c>
      <c r="N323" s="84"/>
      <c r="O323" s="121">
        <f t="shared" si="110"/>
        <v>58646.55</v>
      </c>
      <c r="P323" s="195">
        <f>9527.2+20173.59</f>
        <v>29700.79</v>
      </c>
      <c r="Q323" s="207">
        <f t="shared" si="111"/>
        <v>88347.34</v>
      </c>
      <c r="R323" s="207">
        <v>88347.34</v>
      </c>
      <c r="S323" s="215">
        <f t="shared" si="94"/>
        <v>100</v>
      </c>
    </row>
    <row r="324" spans="1:19" ht="12.75">
      <c r="A324" s="25" t="s">
        <v>120</v>
      </c>
      <c r="B324" s="60"/>
      <c r="C324" s="76">
        <f aca="true" t="shared" si="112" ref="C324:O324">C325+C335</f>
        <v>145693.8</v>
      </c>
      <c r="D324" s="77">
        <f t="shared" si="112"/>
        <v>8580</v>
      </c>
      <c r="E324" s="77">
        <f t="shared" si="112"/>
        <v>0</v>
      </c>
      <c r="F324" s="78">
        <f t="shared" si="112"/>
        <v>154273.8</v>
      </c>
      <c r="G324" s="76">
        <f t="shared" si="112"/>
        <v>3062.3</v>
      </c>
      <c r="H324" s="77">
        <f t="shared" si="112"/>
        <v>0</v>
      </c>
      <c r="I324" s="78">
        <f t="shared" si="112"/>
        <v>157336.1</v>
      </c>
      <c r="J324" s="76">
        <f t="shared" si="112"/>
        <v>-3568</v>
      </c>
      <c r="K324" s="77">
        <f t="shared" si="112"/>
        <v>0</v>
      </c>
      <c r="L324" s="139">
        <f t="shared" si="112"/>
        <v>153768.1</v>
      </c>
      <c r="M324" s="76">
        <f t="shared" si="112"/>
        <v>400</v>
      </c>
      <c r="N324" s="77">
        <f t="shared" si="112"/>
        <v>889</v>
      </c>
      <c r="O324" s="78">
        <f t="shared" si="112"/>
        <v>155057.1</v>
      </c>
      <c r="P324" s="191">
        <f>P325+P335</f>
        <v>6478.089999999999</v>
      </c>
      <c r="Q324" s="175">
        <f>Q325+Q335</f>
        <v>161535.19</v>
      </c>
      <c r="R324" s="175">
        <f>R325+R335</f>
        <v>161404.23</v>
      </c>
      <c r="S324" s="165">
        <f t="shared" si="94"/>
        <v>99.9189278819061</v>
      </c>
    </row>
    <row r="325" spans="1:19" ht="12.75">
      <c r="A325" s="19" t="s">
        <v>64</v>
      </c>
      <c r="B325" s="59"/>
      <c r="C325" s="80">
        <f aca="true" t="shared" si="113" ref="C325:O325">SUM(C327:C334)</f>
        <v>145693.8</v>
      </c>
      <c r="D325" s="81">
        <f t="shared" si="113"/>
        <v>2480</v>
      </c>
      <c r="E325" s="81">
        <f t="shared" si="113"/>
        <v>0</v>
      </c>
      <c r="F325" s="82">
        <f t="shared" si="113"/>
        <v>148173.8</v>
      </c>
      <c r="G325" s="80">
        <f t="shared" si="113"/>
        <v>3062.3</v>
      </c>
      <c r="H325" s="81">
        <f t="shared" si="113"/>
        <v>0</v>
      </c>
      <c r="I325" s="82">
        <f t="shared" si="113"/>
        <v>151236.1</v>
      </c>
      <c r="J325" s="80">
        <f t="shared" si="113"/>
        <v>1832</v>
      </c>
      <c r="K325" s="81">
        <f t="shared" si="113"/>
        <v>0</v>
      </c>
      <c r="L325" s="140">
        <f t="shared" si="113"/>
        <v>153068.1</v>
      </c>
      <c r="M325" s="80">
        <f t="shared" si="113"/>
        <v>320</v>
      </c>
      <c r="N325" s="81">
        <f t="shared" si="113"/>
        <v>889</v>
      </c>
      <c r="O325" s="82">
        <f t="shared" si="113"/>
        <v>154277.1</v>
      </c>
      <c r="P325" s="193">
        <f>SUM(P327:P334)</f>
        <v>147.73</v>
      </c>
      <c r="Q325" s="176">
        <f>SUM(Q327:Q334)</f>
        <v>154424.83000000002</v>
      </c>
      <c r="R325" s="176">
        <f>SUM(R327:R334)</f>
        <v>154293.87000000002</v>
      </c>
      <c r="S325" s="214">
        <f t="shared" si="94"/>
        <v>99.9151949851588</v>
      </c>
    </row>
    <row r="326" spans="1:19" ht="12.75">
      <c r="A326" s="15" t="s">
        <v>35</v>
      </c>
      <c r="B326" s="55"/>
      <c r="C326" s="75"/>
      <c r="D326" s="73"/>
      <c r="E326" s="73"/>
      <c r="F326" s="74"/>
      <c r="G326" s="75"/>
      <c r="H326" s="73"/>
      <c r="I326" s="74"/>
      <c r="J326" s="75"/>
      <c r="K326" s="73"/>
      <c r="L326" s="136"/>
      <c r="M326" s="75"/>
      <c r="N326" s="73"/>
      <c r="O326" s="74"/>
      <c r="P326" s="187"/>
      <c r="Q326" s="171"/>
      <c r="R326" s="171"/>
      <c r="S326" s="168"/>
    </row>
    <row r="327" spans="1:19" ht="12.75">
      <c r="A327" s="17" t="s">
        <v>95</v>
      </c>
      <c r="B327" s="55"/>
      <c r="C327" s="75">
        <v>125975.3</v>
      </c>
      <c r="D327" s="73">
        <f>300+1480</f>
        <v>1780</v>
      </c>
      <c r="E327" s="73"/>
      <c r="F327" s="74">
        <f aca="true" t="shared" si="114" ref="F327:F334">C327+D327+E327</f>
        <v>127755.3</v>
      </c>
      <c r="G327" s="75">
        <f>735+71.2+873.1</f>
        <v>1679.3000000000002</v>
      </c>
      <c r="H327" s="73"/>
      <c r="I327" s="74">
        <f>F327+G327+H327</f>
        <v>129434.6</v>
      </c>
      <c r="J327" s="75">
        <f>55+50+150+100+700</f>
        <v>1055</v>
      </c>
      <c r="K327" s="73"/>
      <c r="L327" s="136">
        <f>I327+J327+K327</f>
        <v>130489.6</v>
      </c>
      <c r="M327" s="75">
        <f>170+150</f>
        <v>320</v>
      </c>
      <c r="N327" s="73">
        <f>1000</f>
        <v>1000</v>
      </c>
      <c r="O327" s="74">
        <f>L327+M327+N327</f>
        <v>131809.6</v>
      </c>
      <c r="P327" s="187">
        <f>211</f>
        <v>211</v>
      </c>
      <c r="Q327" s="171">
        <f aca="true" t="shared" si="115" ref="Q327:Q334">O327+P327</f>
        <v>132020.6</v>
      </c>
      <c r="R327" s="171">
        <v>132020.6</v>
      </c>
      <c r="S327" s="168">
        <f t="shared" si="94"/>
        <v>100</v>
      </c>
    </row>
    <row r="328" spans="1:19" ht="12.75">
      <c r="A328" s="17" t="s">
        <v>67</v>
      </c>
      <c r="B328" s="55"/>
      <c r="C328" s="75">
        <v>16472.5</v>
      </c>
      <c r="D328" s="73">
        <f>-670-3869-300+200+700</f>
        <v>-3939</v>
      </c>
      <c r="E328" s="73">
        <v>-129</v>
      </c>
      <c r="F328" s="74">
        <f t="shared" si="114"/>
        <v>12404.5</v>
      </c>
      <c r="G328" s="75">
        <f>500</f>
        <v>500</v>
      </c>
      <c r="H328" s="73"/>
      <c r="I328" s="74">
        <f aca="true" t="shared" si="116" ref="I328:I334">F328+G328+H328</f>
        <v>12904.5</v>
      </c>
      <c r="J328" s="75">
        <f>38+250</f>
        <v>288</v>
      </c>
      <c r="K328" s="73"/>
      <c r="L328" s="136">
        <f aca="true" t="shared" si="117" ref="L328:L334">I328+J328+K328</f>
        <v>13192.5</v>
      </c>
      <c r="M328" s="75"/>
      <c r="N328" s="73">
        <f>-111</f>
        <v>-111</v>
      </c>
      <c r="O328" s="74">
        <f aca="true" t="shared" si="118" ref="O328:O334">L328+M328+N328</f>
        <v>13081.5</v>
      </c>
      <c r="P328" s="187">
        <f>-69</f>
        <v>-69</v>
      </c>
      <c r="Q328" s="171">
        <f t="shared" si="115"/>
        <v>13012.5</v>
      </c>
      <c r="R328" s="171">
        <v>12881.54</v>
      </c>
      <c r="S328" s="168">
        <f t="shared" si="94"/>
        <v>98.99358309317964</v>
      </c>
    </row>
    <row r="329" spans="1:19" ht="12.75">
      <c r="A329" s="17" t="s">
        <v>167</v>
      </c>
      <c r="B329" s="55"/>
      <c r="C329" s="75">
        <v>3246</v>
      </c>
      <c r="D329" s="73"/>
      <c r="E329" s="73"/>
      <c r="F329" s="74">
        <f t="shared" si="114"/>
        <v>3246</v>
      </c>
      <c r="G329" s="75"/>
      <c r="H329" s="73"/>
      <c r="I329" s="74">
        <f t="shared" si="116"/>
        <v>3246</v>
      </c>
      <c r="J329" s="75">
        <f>-38</f>
        <v>-38</v>
      </c>
      <c r="K329" s="73"/>
      <c r="L329" s="136">
        <f t="shared" si="117"/>
        <v>3208</v>
      </c>
      <c r="M329" s="75"/>
      <c r="N329" s="73"/>
      <c r="O329" s="74">
        <f t="shared" si="118"/>
        <v>3208</v>
      </c>
      <c r="P329" s="187"/>
      <c r="Q329" s="171">
        <f t="shared" si="115"/>
        <v>3208</v>
      </c>
      <c r="R329" s="171">
        <v>3208</v>
      </c>
      <c r="S329" s="168">
        <f t="shared" si="94"/>
        <v>100</v>
      </c>
    </row>
    <row r="330" spans="1:19" ht="12.75">
      <c r="A330" s="17" t="s">
        <v>83</v>
      </c>
      <c r="B330" s="55"/>
      <c r="C330" s="75"/>
      <c r="D330" s="73">
        <f>670+3869+100</f>
        <v>4639</v>
      </c>
      <c r="E330" s="73">
        <v>129</v>
      </c>
      <c r="F330" s="74">
        <f t="shared" si="114"/>
        <v>4768</v>
      </c>
      <c r="G330" s="75"/>
      <c r="H330" s="73"/>
      <c r="I330" s="74">
        <f t="shared" si="116"/>
        <v>4768</v>
      </c>
      <c r="J330" s="75"/>
      <c r="K330" s="73"/>
      <c r="L330" s="136">
        <f t="shared" si="117"/>
        <v>4768</v>
      </c>
      <c r="M330" s="75"/>
      <c r="N330" s="73"/>
      <c r="O330" s="74">
        <f t="shared" si="118"/>
        <v>4768</v>
      </c>
      <c r="P330" s="187"/>
      <c r="Q330" s="171">
        <f t="shared" si="115"/>
        <v>4768</v>
      </c>
      <c r="R330" s="171">
        <v>4768</v>
      </c>
      <c r="S330" s="168">
        <f t="shared" si="94"/>
        <v>100</v>
      </c>
    </row>
    <row r="331" spans="1:19" ht="12.75">
      <c r="A331" s="17" t="s">
        <v>121</v>
      </c>
      <c r="B331" s="55">
        <v>34070</v>
      </c>
      <c r="C331" s="75"/>
      <c r="D331" s="73"/>
      <c r="E331" s="73"/>
      <c r="F331" s="74">
        <f t="shared" si="114"/>
        <v>0</v>
      </c>
      <c r="G331" s="75">
        <f>372+186+15+23+16</f>
        <v>612</v>
      </c>
      <c r="H331" s="73"/>
      <c r="I331" s="74">
        <f t="shared" si="116"/>
        <v>612</v>
      </c>
      <c r="J331" s="75">
        <f>460</f>
        <v>460</v>
      </c>
      <c r="K331" s="73"/>
      <c r="L331" s="136">
        <f t="shared" si="117"/>
        <v>1072</v>
      </c>
      <c r="M331" s="75"/>
      <c r="N331" s="73"/>
      <c r="O331" s="74">
        <f t="shared" si="118"/>
        <v>1072</v>
      </c>
      <c r="P331" s="187"/>
      <c r="Q331" s="171">
        <f t="shared" si="115"/>
        <v>1072</v>
      </c>
      <c r="R331" s="171">
        <v>1072</v>
      </c>
      <c r="S331" s="168">
        <f t="shared" si="94"/>
        <v>100</v>
      </c>
    </row>
    <row r="332" spans="1:19" ht="12.75">
      <c r="A332" s="17" t="s">
        <v>354</v>
      </c>
      <c r="B332" s="55">
        <v>34013</v>
      </c>
      <c r="C332" s="75"/>
      <c r="D332" s="73"/>
      <c r="E332" s="73"/>
      <c r="F332" s="74"/>
      <c r="G332" s="75"/>
      <c r="H332" s="73"/>
      <c r="I332" s="74">
        <f t="shared" si="116"/>
        <v>0</v>
      </c>
      <c r="J332" s="75">
        <f>28+39</f>
        <v>67</v>
      </c>
      <c r="K332" s="73"/>
      <c r="L332" s="136">
        <f t="shared" si="117"/>
        <v>67</v>
      </c>
      <c r="M332" s="75"/>
      <c r="N332" s="73"/>
      <c r="O332" s="74">
        <f t="shared" si="118"/>
        <v>67</v>
      </c>
      <c r="P332" s="187"/>
      <c r="Q332" s="171">
        <f t="shared" si="115"/>
        <v>67</v>
      </c>
      <c r="R332" s="171">
        <v>67</v>
      </c>
      <c r="S332" s="168">
        <f aca="true" t="shared" si="119" ref="S332:S395">R332/Q332*100</f>
        <v>100</v>
      </c>
    </row>
    <row r="333" spans="1:19" ht="12.75">
      <c r="A333" s="17" t="s">
        <v>122</v>
      </c>
      <c r="B333" s="55">
        <v>34053</v>
      </c>
      <c r="C333" s="75"/>
      <c r="D333" s="73"/>
      <c r="E333" s="84"/>
      <c r="F333" s="74">
        <f t="shared" si="114"/>
        <v>0</v>
      </c>
      <c r="G333" s="75">
        <f>242+29</f>
        <v>271</v>
      </c>
      <c r="H333" s="73"/>
      <c r="I333" s="74">
        <f t="shared" si="116"/>
        <v>271</v>
      </c>
      <c r="J333" s="75"/>
      <c r="K333" s="73"/>
      <c r="L333" s="136">
        <f t="shared" si="117"/>
        <v>271</v>
      </c>
      <c r="M333" s="75"/>
      <c r="N333" s="73"/>
      <c r="O333" s="74">
        <f t="shared" si="118"/>
        <v>271</v>
      </c>
      <c r="P333" s="187"/>
      <c r="Q333" s="171">
        <f t="shared" si="115"/>
        <v>271</v>
      </c>
      <c r="R333" s="171">
        <v>271</v>
      </c>
      <c r="S333" s="168">
        <f t="shared" si="119"/>
        <v>100</v>
      </c>
    </row>
    <row r="334" spans="1:19" ht="12.75">
      <c r="A334" s="17" t="s">
        <v>99</v>
      </c>
      <c r="B334" s="55">
        <v>33037</v>
      </c>
      <c r="C334" s="75"/>
      <c r="D334" s="73"/>
      <c r="E334" s="73"/>
      <c r="F334" s="74">
        <f t="shared" si="114"/>
        <v>0</v>
      </c>
      <c r="G334" s="75"/>
      <c r="H334" s="73"/>
      <c r="I334" s="74">
        <f t="shared" si="116"/>
        <v>0</v>
      </c>
      <c r="J334" s="75"/>
      <c r="K334" s="73"/>
      <c r="L334" s="136">
        <f t="shared" si="117"/>
        <v>0</v>
      </c>
      <c r="M334" s="75"/>
      <c r="N334" s="73"/>
      <c r="O334" s="74">
        <f t="shared" si="118"/>
        <v>0</v>
      </c>
      <c r="P334" s="187">
        <f>5.73</f>
        <v>5.73</v>
      </c>
      <c r="Q334" s="171">
        <f t="shared" si="115"/>
        <v>5.73</v>
      </c>
      <c r="R334" s="171">
        <v>5.73</v>
      </c>
      <c r="S334" s="168">
        <f t="shared" si="119"/>
        <v>100</v>
      </c>
    </row>
    <row r="335" spans="1:19" ht="12.75">
      <c r="A335" s="19" t="s">
        <v>70</v>
      </c>
      <c r="B335" s="59"/>
      <c r="C335" s="80">
        <f>SUM(C337:C340)</f>
        <v>0</v>
      </c>
      <c r="D335" s="81">
        <f>SUM(D337:D340)</f>
        <v>6100</v>
      </c>
      <c r="E335" s="81"/>
      <c r="F335" s="82">
        <f aca="true" t="shared" si="120" ref="F335:Q335">SUM(F337:F340)</f>
        <v>6100</v>
      </c>
      <c r="G335" s="80">
        <f t="shared" si="120"/>
        <v>0</v>
      </c>
      <c r="H335" s="81">
        <f t="shared" si="120"/>
        <v>0</v>
      </c>
      <c r="I335" s="82">
        <f t="shared" si="120"/>
        <v>6100</v>
      </c>
      <c r="J335" s="80">
        <f t="shared" si="120"/>
        <v>-5400</v>
      </c>
      <c r="K335" s="81">
        <f t="shared" si="120"/>
        <v>0</v>
      </c>
      <c r="L335" s="140">
        <f t="shared" si="120"/>
        <v>700</v>
      </c>
      <c r="M335" s="80">
        <f t="shared" si="120"/>
        <v>80</v>
      </c>
      <c r="N335" s="81">
        <f t="shared" si="120"/>
        <v>0</v>
      </c>
      <c r="O335" s="82">
        <f t="shared" si="120"/>
        <v>780</v>
      </c>
      <c r="P335" s="193">
        <f t="shared" si="120"/>
        <v>6330.36</v>
      </c>
      <c r="Q335" s="176">
        <f t="shared" si="120"/>
        <v>7110.36</v>
      </c>
      <c r="R335" s="176">
        <f>SUM(R337:R340)</f>
        <v>7110.36</v>
      </c>
      <c r="S335" s="214">
        <f t="shared" si="119"/>
        <v>100</v>
      </c>
    </row>
    <row r="336" spans="1:19" ht="12.75">
      <c r="A336" s="15" t="s">
        <v>35</v>
      </c>
      <c r="B336" s="55"/>
      <c r="C336" s="75"/>
      <c r="D336" s="73"/>
      <c r="E336" s="73"/>
      <c r="F336" s="74"/>
      <c r="G336" s="75"/>
      <c r="H336" s="73"/>
      <c r="I336" s="74"/>
      <c r="J336" s="75"/>
      <c r="K336" s="73"/>
      <c r="L336" s="136"/>
      <c r="M336" s="75"/>
      <c r="N336" s="73"/>
      <c r="O336" s="74"/>
      <c r="P336" s="187"/>
      <c r="Q336" s="171"/>
      <c r="R336" s="171"/>
      <c r="S336" s="168"/>
    </row>
    <row r="337" spans="1:19" ht="12.75">
      <c r="A337" s="17" t="s">
        <v>354</v>
      </c>
      <c r="B337" s="55">
        <v>34941</v>
      </c>
      <c r="C337" s="75"/>
      <c r="D337" s="73"/>
      <c r="E337" s="73"/>
      <c r="F337" s="74">
        <f>C337+D337+E337</f>
        <v>0</v>
      </c>
      <c r="G337" s="75"/>
      <c r="H337" s="73"/>
      <c r="I337" s="74">
        <f>F337+G337+H337</f>
        <v>0</v>
      </c>
      <c r="J337" s="75"/>
      <c r="K337" s="73"/>
      <c r="L337" s="136">
        <f>I337+J337+K337</f>
        <v>0</v>
      </c>
      <c r="M337" s="75">
        <v>80</v>
      </c>
      <c r="N337" s="73"/>
      <c r="O337" s="74">
        <f>L337+M337+N337</f>
        <v>80</v>
      </c>
      <c r="P337" s="187"/>
      <c r="Q337" s="171">
        <f>O337+P337</f>
        <v>80</v>
      </c>
      <c r="R337" s="171">
        <v>80</v>
      </c>
      <c r="S337" s="168">
        <f t="shared" si="119"/>
        <v>100</v>
      </c>
    </row>
    <row r="338" spans="1:19" ht="12.75">
      <c r="A338" s="53" t="s">
        <v>114</v>
      </c>
      <c r="B338" s="55"/>
      <c r="C338" s="75"/>
      <c r="D338" s="73"/>
      <c r="E338" s="73"/>
      <c r="F338" s="74">
        <f>C338+D338+E338</f>
        <v>0</v>
      </c>
      <c r="G338" s="75"/>
      <c r="H338" s="73"/>
      <c r="I338" s="74">
        <f>F338+G338+H338</f>
        <v>0</v>
      </c>
      <c r="J338" s="75">
        <v>500</v>
      </c>
      <c r="K338" s="73"/>
      <c r="L338" s="136">
        <f>I338+J338+K338</f>
        <v>500</v>
      </c>
      <c r="M338" s="75"/>
      <c r="N338" s="73"/>
      <c r="O338" s="74">
        <f>L338+M338+N338</f>
        <v>500</v>
      </c>
      <c r="P338" s="187"/>
      <c r="Q338" s="171">
        <f>O338+P338</f>
        <v>500</v>
      </c>
      <c r="R338" s="171">
        <v>500</v>
      </c>
      <c r="S338" s="168">
        <f t="shared" si="119"/>
        <v>100</v>
      </c>
    </row>
    <row r="339" spans="1:19" ht="12.75">
      <c r="A339" s="43" t="s">
        <v>71</v>
      </c>
      <c r="B339" s="55"/>
      <c r="C339" s="75"/>
      <c r="D339" s="73">
        <v>200</v>
      </c>
      <c r="E339" s="73"/>
      <c r="F339" s="74">
        <f>C339+D339+E339</f>
        <v>200</v>
      </c>
      <c r="G339" s="75"/>
      <c r="H339" s="73"/>
      <c r="I339" s="74">
        <f>F339+G339+H339</f>
        <v>200</v>
      </c>
      <c r="J339" s="75"/>
      <c r="K339" s="73"/>
      <c r="L339" s="136">
        <f>I339+J339+K339</f>
        <v>200</v>
      </c>
      <c r="M339" s="75"/>
      <c r="N339" s="73"/>
      <c r="O339" s="74">
        <f>L339+M339+N339</f>
        <v>200</v>
      </c>
      <c r="P339" s="187"/>
      <c r="Q339" s="171">
        <f>O339+P339</f>
        <v>200</v>
      </c>
      <c r="R339" s="171">
        <v>200</v>
      </c>
      <c r="S339" s="168">
        <f t="shared" si="119"/>
        <v>100</v>
      </c>
    </row>
    <row r="340" spans="1:19" ht="12.75">
      <c r="A340" s="24" t="s">
        <v>99</v>
      </c>
      <c r="B340" s="58">
        <v>33939</v>
      </c>
      <c r="C340" s="83"/>
      <c r="D340" s="84">
        <f>5900</f>
        <v>5900</v>
      </c>
      <c r="E340" s="84"/>
      <c r="F340" s="121">
        <f>C340+D340+E340</f>
        <v>5900</v>
      </c>
      <c r="G340" s="83"/>
      <c r="H340" s="84"/>
      <c r="I340" s="121">
        <f>F340+G340+H340</f>
        <v>5900</v>
      </c>
      <c r="J340" s="83">
        <f>-5900</f>
        <v>-5900</v>
      </c>
      <c r="K340" s="84"/>
      <c r="L340" s="150">
        <f>I340+J340+K340</f>
        <v>0</v>
      </c>
      <c r="M340" s="160"/>
      <c r="N340" s="84"/>
      <c r="O340" s="121">
        <f>L340+M340+N340</f>
        <v>0</v>
      </c>
      <c r="P340" s="195">
        <f>6330.36</f>
        <v>6330.36</v>
      </c>
      <c r="Q340" s="207">
        <f>O340+P340</f>
        <v>6330.36</v>
      </c>
      <c r="R340" s="207">
        <v>6330.36</v>
      </c>
      <c r="S340" s="215">
        <f t="shared" si="119"/>
        <v>100</v>
      </c>
    </row>
    <row r="341" spans="1:19" ht="12.75">
      <c r="A341" s="25" t="s">
        <v>226</v>
      </c>
      <c r="B341" s="60"/>
      <c r="C341" s="70">
        <f aca="true" t="shared" si="121" ref="C341:L341">C342+C367</f>
        <v>600007.5</v>
      </c>
      <c r="D341" s="71">
        <f t="shared" si="121"/>
        <v>583614.79</v>
      </c>
      <c r="E341" s="71">
        <f t="shared" si="121"/>
        <v>0</v>
      </c>
      <c r="F341" s="72">
        <f t="shared" si="121"/>
        <v>1183622.2899999998</v>
      </c>
      <c r="G341" s="70">
        <f t="shared" si="121"/>
        <v>248415.66000000003</v>
      </c>
      <c r="H341" s="71">
        <f t="shared" si="121"/>
        <v>24500.84</v>
      </c>
      <c r="I341" s="72">
        <f t="shared" si="121"/>
        <v>1456538.7899999998</v>
      </c>
      <c r="J341" s="70">
        <f t="shared" si="121"/>
        <v>415484.8499999999</v>
      </c>
      <c r="K341" s="71">
        <f t="shared" si="121"/>
        <v>-3800</v>
      </c>
      <c r="L341" s="138">
        <f t="shared" si="121"/>
        <v>1868223.64</v>
      </c>
      <c r="M341" s="70">
        <f aca="true" t="shared" si="122" ref="M341:R341">M342+M367</f>
        <v>196298.46000000002</v>
      </c>
      <c r="N341" s="71">
        <f t="shared" si="122"/>
        <v>0</v>
      </c>
      <c r="O341" s="72">
        <f t="shared" si="122"/>
        <v>2064522.0999999996</v>
      </c>
      <c r="P341" s="188">
        <f t="shared" si="122"/>
        <v>238862.43999999997</v>
      </c>
      <c r="Q341" s="172">
        <f t="shared" si="122"/>
        <v>2303384.5399999996</v>
      </c>
      <c r="R341" s="172">
        <f t="shared" si="122"/>
        <v>1399008.32</v>
      </c>
      <c r="S341" s="165">
        <f t="shared" si="119"/>
        <v>60.737071717951196</v>
      </c>
    </row>
    <row r="342" spans="1:19" ht="12.75">
      <c r="A342" s="19" t="s">
        <v>64</v>
      </c>
      <c r="B342" s="59"/>
      <c r="C342" s="80">
        <f aca="true" t="shared" si="123" ref="C342:L342">SUM(C344:C357)</f>
        <v>62349.9</v>
      </c>
      <c r="D342" s="81">
        <f t="shared" si="123"/>
        <v>23266.31</v>
      </c>
      <c r="E342" s="81">
        <f t="shared" si="123"/>
        <v>0</v>
      </c>
      <c r="F342" s="82">
        <f t="shared" si="123"/>
        <v>85616.21</v>
      </c>
      <c r="G342" s="80">
        <f t="shared" si="123"/>
        <v>4843.63</v>
      </c>
      <c r="H342" s="81">
        <f t="shared" si="123"/>
        <v>0</v>
      </c>
      <c r="I342" s="82">
        <f t="shared" si="123"/>
        <v>90459.84</v>
      </c>
      <c r="J342" s="80">
        <f t="shared" si="123"/>
        <v>1685.45</v>
      </c>
      <c r="K342" s="81">
        <f t="shared" si="123"/>
        <v>0</v>
      </c>
      <c r="L342" s="140">
        <f t="shared" si="123"/>
        <v>92145.28999999998</v>
      </c>
      <c r="M342" s="80">
        <f aca="true" t="shared" si="124" ref="M342:R342">SUM(M344:M357)</f>
        <v>6065.44</v>
      </c>
      <c r="N342" s="81">
        <f t="shared" si="124"/>
        <v>0</v>
      </c>
      <c r="O342" s="82">
        <f t="shared" si="124"/>
        <v>98210.73000000001</v>
      </c>
      <c r="P342" s="193">
        <f t="shared" si="124"/>
        <v>5192.46</v>
      </c>
      <c r="Q342" s="176">
        <f t="shared" si="124"/>
        <v>103403.19</v>
      </c>
      <c r="R342" s="176">
        <f t="shared" si="124"/>
        <v>56749.009999999995</v>
      </c>
      <c r="S342" s="214">
        <f t="shared" si="119"/>
        <v>54.88129524824137</v>
      </c>
    </row>
    <row r="343" spans="1:19" ht="12.75">
      <c r="A343" s="15" t="s">
        <v>35</v>
      </c>
      <c r="B343" s="55"/>
      <c r="C343" s="80"/>
      <c r="D343" s="110"/>
      <c r="E343" s="110"/>
      <c r="F343" s="82"/>
      <c r="G343" s="75"/>
      <c r="H343" s="73"/>
      <c r="I343" s="74"/>
      <c r="J343" s="75"/>
      <c r="K343" s="73"/>
      <c r="L343" s="136"/>
      <c r="M343" s="89"/>
      <c r="N343" s="73"/>
      <c r="O343" s="74"/>
      <c r="P343" s="187"/>
      <c r="Q343" s="171"/>
      <c r="R343" s="171"/>
      <c r="S343" s="168"/>
    </row>
    <row r="344" spans="1:19" ht="12.75">
      <c r="A344" s="17" t="s">
        <v>67</v>
      </c>
      <c r="B344" s="55"/>
      <c r="C344" s="75">
        <v>582</v>
      </c>
      <c r="D344" s="88">
        <f>1202.63+1000</f>
        <v>2202.63</v>
      </c>
      <c r="E344" s="88"/>
      <c r="F344" s="74">
        <f aca="true" t="shared" si="125" ref="F344:F366">C344+D344+E344</f>
        <v>2784.63</v>
      </c>
      <c r="G344" s="75"/>
      <c r="H344" s="73"/>
      <c r="I344" s="74">
        <f aca="true" t="shared" si="126" ref="I344:I366">F344+G344+H344</f>
        <v>2784.63</v>
      </c>
      <c r="J344" s="75"/>
      <c r="K344" s="73"/>
      <c r="L344" s="136">
        <f>I344+J344+K344</f>
        <v>2784.63</v>
      </c>
      <c r="M344" s="89">
        <f>-242</f>
        <v>-242</v>
      </c>
      <c r="N344" s="73"/>
      <c r="O344" s="74">
        <f>L344+M344+N344</f>
        <v>2542.63</v>
      </c>
      <c r="P344" s="187"/>
      <c r="Q344" s="171">
        <f>O344+P344</f>
        <v>2542.63</v>
      </c>
      <c r="R344" s="173">
        <v>1157.23</v>
      </c>
      <c r="S344" s="168">
        <f t="shared" si="119"/>
        <v>45.51311044076409</v>
      </c>
    </row>
    <row r="345" spans="1:19" ht="12.75">
      <c r="A345" s="17" t="s">
        <v>237</v>
      </c>
      <c r="B345" s="55" t="s">
        <v>345</v>
      </c>
      <c r="C345" s="75"/>
      <c r="D345" s="88">
        <f>2375.1</f>
        <v>2375.1</v>
      </c>
      <c r="E345" s="88"/>
      <c r="F345" s="74">
        <f t="shared" si="125"/>
        <v>2375.1</v>
      </c>
      <c r="G345" s="75"/>
      <c r="H345" s="73"/>
      <c r="I345" s="74">
        <f t="shared" si="126"/>
        <v>2375.1</v>
      </c>
      <c r="J345" s="75"/>
      <c r="K345" s="73"/>
      <c r="L345" s="136">
        <f aca="true" t="shared" si="127" ref="L345:L366">I345+J345+K345</f>
        <v>2375.1</v>
      </c>
      <c r="M345" s="89"/>
      <c r="N345" s="73"/>
      <c r="O345" s="74">
        <f aca="true" t="shared" si="128" ref="O345:O366">L345+M345+N345</f>
        <v>2375.1</v>
      </c>
      <c r="P345" s="187"/>
      <c r="Q345" s="171">
        <f aca="true" t="shared" si="129" ref="Q345:Q366">O345+P345</f>
        <v>2375.1</v>
      </c>
      <c r="R345" s="171">
        <v>320.29</v>
      </c>
      <c r="S345" s="168">
        <f t="shared" si="119"/>
        <v>13.485326933602797</v>
      </c>
    </row>
    <row r="346" spans="1:19" ht="12.75">
      <c r="A346" s="17" t="s">
        <v>238</v>
      </c>
      <c r="B346" s="55" t="s">
        <v>376</v>
      </c>
      <c r="C346" s="75">
        <v>3617.9</v>
      </c>
      <c r="D346" s="88">
        <f>181.1+937.09</f>
        <v>1118.19</v>
      </c>
      <c r="E346" s="88"/>
      <c r="F346" s="74">
        <f t="shared" si="125"/>
        <v>4736.09</v>
      </c>
      <c r="G346" s="75"/>
      <c r="H346" s="73"/>
      <c r="I346" s="74">
        <f t="shared" si="126"/>
        <v>4736.09</v>
      </c>
      <c r="J346" s="75">
        <f>1165.3</f>
        <v>1165.3</v>
      </c>
      <c r="K346" s="73"/>
      <c r="L346" s="136">
        <f t="shared" si="127"/>
        <v>5901.39</v>
      </c>
      <c r="M346" s="89"/>
      <c r="N346" s="73"/>
      <c r="O346" s="74">
        <f t="shared" si="128"/>
        <v>5901.39</v>
      </c>
      <c r="P346" s="187"/>
      <c r="Q346" s="171">
        <f t="shared" si="129"/>
        <v>5901.39</v>
      </c>
      <c r="R346" s="171">
        <v>3621.79</v>
      </c>
      <c r="S346" s="168">
        <f t="shared" si="119"/>
        <v>61.37181240351849</v>
      </c>
    </row>
    <row r="347" spans="1:19" ht="12.75">
      <c r="A347" s="56" t="s">
        <v>102</v>
      </c>
      <c r="B347" s="55"/>
      <c r="C347" s="75">
        <v>800</v>
      </c>
      <c r="D347" s="88"/>
      <c r="E347" s="88"/>
      <c r="F347" s="74">
        <f t="shared" si="125"/>
        <v>800</v>
      </c>
      <c r="G347" s="75"/>
      <c r="H347" s="73"/>
      <c r="I347" s="74">
        <f t="shared" si="126"/>
        <v>800</v>
      </c>
      <c r="J347" s="75"/>
      <c r="K347" s="73"/>
      <c r="L347" s="136">
        <f t="shared" si="127"/>
        <v>800</v>
      </c>
      <c r="M347" s="89"/>
      <c r="N347" s="73"/>
      <c r="O347" s="74">
        <f t="shared" si="128"/>
        <v>800</v>
      </c>
      <c r="P347" s="187"/>
      <c r="Q347" s="171">
        <f t="shared" si="129"/>
        <v>800</v>
      </c>
      <c r="R347" s="171">
        <v>800</v>
      </c>
      <c r="S347" s="168">
        <f t="shared" si="119"/>
        <v>100</v>
      </c>
    </row>
    <row r="348" spans="1:19" ht="12.75">
      <c r="A348" s="13" t="s">
        <v>257</v>
      </c>
      <c r="B348" s="55"/>
      <c r="C348" s="75">
        <v>6300</v>
      </c>
      <c r="D348" s="88"/>
      <c r="E348" s="88"/>
      <c r="F348" s="74">
        <f t="shared" si="125"/>
        <v>6300</v>
      </c>
      <c r="G348" s="75"/>
      <c r="H348" s="73"/>
      <c r="I348" s="74">
        <f t="shared" si="126"/>
        <v>6300</v>
      </c>
      <c r="J348" s="75"/>
      <c r="K348" s="73"/>
      <c r="L348" s="136">
        <f t="shared" si="127"/>
        <v>6300</v>
      </c>
      <c r="M348" s="89">
        <f>500</f>
        <v>500</v>
      </c>
      <c r="N348" s="73"/>
      <c r="O348" s="74">
        <f t="shared" si="128"/>
        <v>6800</v>
      </c>
      <c r="P348" s="187"/>
      <c r="Q348" s="171">
        <f t="shared" si="129"/>
        <v>6800</v>
      </c>
      <c r="R348" s="173">
        <v>6300</v>
      </c>
      <c r="S348" s="168">
        <f t="shared" si="119"/>
        <v>92.64705882352942</v>
      </c>
    </row>
    <row r="349" spans="1:19" ht="12.75">
      <c r="A349" s="17" t="s">
        <v>258</v>
      </c>
      <c r="B349" s="55"/>
      <c r="C349" s="75">
        <v>3500</v>
      </c>
      <c r="D349" s="88"/>
      <c r="E349" s="88"/>
      <c r="F349" s="74">
        <f t="shared" si="125"/>
        <v>3500</v>
      </c>
      <c r="G349" s="75"/>
      <c r="H349" s="73"/>
      <c r="I349" s="74">
        <f t="shared" si="126"/>
        <v>3500</v>
      </c>
      <c r="J349" s="75"/>
      <c r="K349" s="73"/>
      <c r="L349" s="136">
        <f t="shared" si="127"/>
        <v>3500</v>
      </c>
      <c r="M349" s="89"/>
      <c r="N349" s="73"/>
      <c r="O349" s="74">
        <f t="shared" si="128"/>
        <v>3500</v>
      </c>
      <c r="P349" s="187"/>
      <c r="Q349" s="171">
        <f t="shared" si="129"/>
        <v>3500</v>
      </c>
      <c r="R349" s="171">
        <v>3500</v>
      </c>
      <c r="S349" s="168">
        <f t="shared" si="119"/>
        <v>100</v>
      </c>
    </row>
    <row r="350" spans="1:19" ht="12.75">
      <c r="A350" s="17" t="s">
        <v>390</v>
      </c>
      <c r="B350" s="55">
        <v>3000</v>
      </c>
      <c r="C350" s="75"/>
      <c r="D350" s="88">
        <f>167.36</f>
        <v>167.36</v>
      </c>
      <c r="E350" s="88"/>
      <c r="F350" s="74">
        <f t="shared" si="125"/>
        <v>167.36</v>
      </c>
      <c r="G350" s="75"/>
      <c r="H350" s="73"/>
      <c r="I350" s="74">
        <f t="shared" si="126"/>
        <v>167.36</v>
      </c>
      <c r="J350" s="75"/>
      <c r="K350" s="73"/>
      <c r="L350" s="136">
        <f t="shared" si="127"/>
        <v>167.36</v>
      </c>
      <c r="M350" s="89"/>
      <c r="N350" s="73"/>
      <c r="O350" s="74">
        <f t="shared" si="128"/>
        <v>167.36</v>
      </c>
      <c r="P350" s="187"/>
      <c r="Q350" s="171">
        <f t="shared" si="129"/>
        <v>167.36</v>
      </c>
      <c r="R350" s="171">
        <v>34</v>
      </c>
      <c r="S350" s="168">
        <f t="shared" si="119"/>
        <v>20.315487571701716</v>
      </c>
    </row>
    <row r="351" spans="1:19" ht="12.75">
      <c r="A351" s="17" t="s">
        <v>350</v>
      </c>
      <c r="B351" s="55">
        <v>13003</v>
      </c>
      <c r="C351" s="75"/>
      <c r="D351" s="88"/>
      <c r="E351" s="88"/>
      <c r="F351" s="74"/>
      <c r="G351" s="75"/>
      <c r="H351" s="73"/>
      <c r="I351" s="74"/>
      <c r="J351" s="75"/>
      <c r="K351" s="73"/>
      <c r="L351" s="136">
        <f t="shared" si="127"/>
        <v>0</v>
      </c>
      <c r="M351" s="89"/>
      <c r="N351" s="73"/>
      <c r="O351" s="74">
        <f t="shared" si="128"/>
        <v>0</v>
      </c>
      <c r="P351" s="187">
        <f>180.9+319.02+353.93</f>
        <v>853.8499999999999</v>
      </c>
      <c r="Q351" s="171">
        <f t="shared" si="129"/>
        <v>853.8499999999999</v>
      </c>
      <c r="R351" s="171">
        <v>853.84</v>
      </c>
      <c r="S351" s="168">
        <f t="shared" si="119"/>
        <v>99.99882883410437</v>
      </c>
    </row>
    <row r="352" spans="1:19" ht="12.75">
      <c r="A352" s="17" t="s">
        <v>335</v>
      </c>
      <c r="B352" s="55">
        <v>85005</v>
      </c>
      <c r="C352" s="75"/>
      <c r="D352" s="88"/>
      <c r="E352" s="88"/>
      <c r="F352" s="74">
        <f t="shared" si="125"/>
        <v>0</v>
      </c>
      <c r="G352" s="75">
        <f>143.93+128.45+137.44</f>
        <v>409.82</v>
      </c>
      <c r="H352" s="73"/>
      <c r="I352" s="74">
        <f t="shared" si="126"/>
        <v>409.82</v>
      </c>
      <c r="J352" s="75">
        <f>154.69</f>
        <v>154.69</v>
      </c>
      <c r="K352" s="73"/>
      <c r="L352" s="136">
        <f t="shared" si="127"/>
        <v>564.51</v>
      </c>
      <c r="M352" s="89">
        <f>332.43+301.52+498.05+557.81+410.54</f>
        <v>2100.35</v>
      </c>
      <c r="N352" s="73"/>
      <c r="O352" s="74">
        <f t="shared" si="128"/>
        <v>2664.8599999999997</v>
      </c>
      <c r="P352" s="187">
        <f>155.36+247.33</f>
        <v>402.69000000000005</v>
      </c>
      <c r="Q352" s="171">
        <f t="shared" si="129"/>
        <v>3067.5499999999997</v>
      </c>
      <c r="R352" s="171">
        <v>3067.55</v>
      </c>
      <c r="S352" s="168">
        <f t="shared" si="119"/>
        <v>100.00000000000003</v>
      </c>
    </row>
    <row r="353" spans="1:19" ht="12.75" hidden="1">
      <c r="A353" s="13" t="s">
        <v>206</v>
      </c>
      <c r="B353" s="55" t="s">
        <v>260</v>
      </c>
      <c r="C353" s="75"/>
      <c r="D353" s="88"/>
      <c r="E353" s="88"/>
      <c r="F353" s="74">
        <f t="shared" si="125"/>
        <v>0</v>
      </c>
      <c r="G353" s="75"/>
      <c r="H353" s="73"/>
      <c r="I353" s="74">
        <f t="shared" si="126"/>
        <v>0</v>
      </c>
      <c r="J353" s="75"/>
      <c r="K353" s="73"/>
      <c r="L353" s="136">
        <f t="shared" si="127"/>
        <v>0</v>
      </c>
      <c r="M353" s="89"/>
      <c r="N353" s="73"/>
      <c r="O353" s="74">
        <f t="shared" si="128"/>
        <v>0</v>
      </c>
      <c r="P353" s="187"/>
      <c r="Q353" s="171">
        <f t="shared" si="129"/>
        <v>0</v>
      </c>
      <c r="R353" s="171"/>
      <c r="S353" s="168" t="e">
        <f t="shared" si="119"/>
        <v>#DIV/0!</v>
      </c>
    </row>
    <row r="354" spans="1:19" ht="12.75">
      <c r="A354" s="17" t="s">
        <v>369</v>
      </c>
      <c r="B354" s="55"/>
      <c r="C354" s="75"/>
      <c r="D354" s="88"/>
      <c r="E354" s="88"/>
      <c r="F354" s="74"/>
      <c r="G354" s="75"/>
      <c r="H354" s="73"/>
      <c r="I354" s="74"/>
      <c r="J354" s="75"/>
      <c r="K354" s="73"/>
      <c r="L354" s="136"/>
      <c r="M354" s="89"/>
      <c r="N354" s="73"/>
      <c r="O354" s="74">
        <f t="shared" si="128"/>
        <v>0</v>
      </c>
      <c r="P354" s="187">
        <v>383.24</v>
      </c>
      <c r="Q354" s="171">
        <f t="shared" si="129"/>
        <v>383.24</v>
      </c>
      <c r="R354" s="171">
        <v>383.24</v>
      </c>
      <c r="S354" s="168">
        <f t="shared" si="119"/>
        <v>100</v>
      </c>
    </row>
    <row r="355" spans="1:19" ht="12.75">
      <c r="A355" s="13" t="s">
        <v>304</v>
      </c>
      <c r="B355" s="55" t="s">
        <v>346</v>
      </c>
      <c r="C355" s="75"/>
      <c r="D355" s="88">
        <v>395.42</v>
      </c>
      <c r="E355" s="88"/>
      <c r="F355" s="74">
        <f t="shared" si="125"/>
        <v>395.42</v>
      </c>
      <c r="G355" s="75">
        <f>2000</f>
        <v>2000</v>
      </c>
      <c r="H355" s="73"/>
      <c r="I355" s="74">
        <f t="shared" si="126"/>
        <v>2395.42</v>
      </c>
      <c r="J355" s="75"/>
      <c r="K355" s="73"/>
      <c r="L355" s="136">
        <f t="shared" si="127"/>
        <v>2395.42</v>
      </c>
      <c r="M355" s="89"/>
      <c r="N355" s="73"/>
      <c r="O355" s="74">
        <f t="shared" si="128"/>
        <v>2395.42</v>
      </c>
      <c r="P355" s="187"/>
      <c r="Q355" s="171">
        <f t="shared" si="129"/>
        <v>2395.42</v>
      </c>
      <c r="R355" s="171">
        <v>163.35</v>
      </c>
      <c r="S355" s="168">
        <f t="shared" si="119"/>
        <v>6.819263427707875</v>
      </c>
    </row>
    <row r="356" spans="1:19" ht="12.75">
      <c r="A356" s="17" t="s">
        <v>230</v>
      </c>
      <c r="B356" s="55" t="s">
        <v>255</v>
      </c>
      <c r="C356" s="75"/>
      <c r="D356" s="88">
        <f>658.97</f>
        <v>658.97</v>
      </c>
      <c r="E356" s="88"/>
      <c r="F356" s="74">
        <f t="shared" si="125"/>
        <v>658.97</v>
      </c>
      <c r="G356" s="75"/>
      <c r="H356" s="73"/>
      <c r="I356" s="74">
        <f t="shared" si="126"/>
        <v>658.97</v>
      </c>
      <c r="J356" s="75"/>
      <c r="K356" s="73"/>
      <c r="L356" s="136">
        <f t="shared" si="127"/>
        <v>658.97</v>
      </c>
      <c r="M356" s="89"/>
      <c r="N356" s="73"/>
      <c r="O356" s="74">
        <f t="shared" si="128"/>
        <v>658.97</v>
      </c>
      <c r="P356" s="187"/>
      <c r="Q356" s="171">
        <f t="shared" si="129"/>
        <v>658.97</v>
      </c>
      <c r="R356" s="171">
        <v>0</v>
      </c>
      <c r="S356" s="168">
        <f t="shared" si="119"/>
        <v>0</v>
      </c>
    </row>
    <row r="357" spans="1:19" ht="12.75">
      <c r="A357" s="13" t="s">
        <v>99</v>
      </c>
      <c r="B357" s="55"/>
      <c r="C357" s="89">
        <f>SUM(C358:C366)</f>
        <v>47550</v>
      </c>
      <c r="D357" s="131">
        <f aca="true" t="shared" si="130" ref="D357:Q357">SUM(D358:D366)</f>
        <v>16348.640000000001</v>
      </c>
      <c r="E357" s="132">
        <f t="shared" si="130"/>
        <v>0</v>
      </c>
      <c r="F357" s="126">
        <f t="shared" si="130"/>
        <v>63898.64000000001</v>
      </c>
      <c r="G357" s="89">
        <f t="shared" si="130"/>
        <v>2433.81</v>
      </c>
      <c r="H357" s="88">
        <f t="shared" si="130"/>
        <v>0</v>
      </c>
      <c r="I357" s="126">
        <f t="shared" si="130"/>
        <v>66332.45</v>
      </c>
      <c r="J357" s="89">
        <f t="shared" si="130"/>
        <v>365.46</v>
      </c>
      <c r="K357" s="88">
        <f t="shared" si="130"/>
        <v>0</v>
      </c>
      <c r="L357" s="142">
        <f t="shared" si="130"/>
        <v>66697.90999999999</v>
      </c>
      <c r="M357" s="89">
        <f t="shared" si="130"/>
        <v>3707.0899999999997</v>
      </c>
      <c r="N357" s="88">
        <f t="shared" si="130"/>
        <v>0</v>
      </c>
      <c r="O357" s="126">
        <f t="shared" si="130"/>
        <v>70405</v>
      </c>
      <c r="P357" s="196">
        <f t="shared" si="130"/>
        <v>3552.68</v>
      </c>
      <c r="Q357" s="178">
        <f t="shared" si="130"/>
        <v>73957.68000000001</v>
      </c>
      <c r="R357" s="178">
        <f>SUM(R358:R366)</f>
        <v>36547.72</v>
      </c>
      <c r="S357" s="168">
        <f t="shared" si="119"/>
        <v>49.41707203362788</v>
      </c>
    </row>
    <row r="358" spans="1:19" ht="12.75">
      <c r="A358" s="13" t="s">
        <v>396</v>
      </c>
      <c r="B358" s="55"/>
      <c r="C358" s="89">
        <v>35550</v>
      </c>
      <c r="D358" s="88">
        <f>14364.38-1000-157.3</f>
        <v>13207.08</v>
      </c>
      <c r="E358" s="73"/>
      <c r="F358" s="74">
        <f t="shared" si="125"/>
        <v>48757.08</v>
      </c>
      <c r="G358" s="75">
        <f>775+825</f>
        <v>1600</v>
      </c>
      <c r="H358" s="73"/>
      <c r="I358" s="74">
        <f t="shared" si="126"/>
        <v>50357.08</v>
      </c>
      <c r="J358" s="75"/>
      <c r="K358" s="73"/>
      <c r="L358" s="136">
        <f t="shared" si="127"/>
        <v>50357.08</v>
      </c>
      <c r="M358" s="89">
        <f>196.69</f>
        <v>196.69</v>
      </c>
      <c r="N358" s="73"/>
      <c r="O358" s="74">
        <f t="shared" si="128"/>
        <v>50553.770000000004</v>
      </c>
      <c r="P358" s="187"/>
      <c r="Q358" s="171">
        <f t="shared" si="129"/>
        <v>50553.770000000004</v>
      </c>
      <c r="R358" s="171">
        <v>26435.38</v>
      </c>
      <c r="S358" s="168">
        <f t="shared" si="119"/>
        <v>52.29160950805449</v>
      </c>
    </row>
    <row r="359" spans="1:19" ht="12.75">
      <c r="A359" s="13" t="s">
        <v>253</v>
      </c>
      <c r="B359" s="55"/>
      <c r="C359" s="89">
        <v>3000</v>
      </c>
      <c r="D359" s="88">
        <f>309.33+121</f>
        <v>430.33</v>
      </c>
      <c r="E359" s="73"/>
      <c r="F359" s="74">
        <f t="shared" si="125"/>
        <v>3430.33</v>
      </c>
      <c r="G359" s="75">
        <f>7.25+333.26</f>
        <v>340.51</v>
      </c>
      <c r="H359" s="73"/>
      <c r="I359" s="74">
        <f t="shared" si="126"/>
        <v>3770.84</v>
      </c>
      <c r="J359" s="75"/>
      <c r="K359" s="73"/>
      <c r="L359" s="136">
        <f t="shared" si="127"/>
        <v>3770.84</v>
      </c>
      <c r="M359" s="89">
        <f>5.82+62.6+500</f>
        <v>568.42</v>
      </c>
      <c r="N359" s="73"/>
      <c r="O359" s="74">
        <f t="shared" si="128"/>
        <v>4339.26</v>
      </c>
      <c r="P359" s="187"/>
      <c r="Q359" s="171">
        <f t="shared" si="129"/>
        <v>4339.26</v>
      </c>
      <c r="R359" s="173">
        <v>14.99</v>
      </c>
      <c r="S359" s="168">
        <f t="shared" si="119"/>
        <v>0.3454506067854887</v>
      </c>
    </row>
    <row r="360" spans="1:19" ht="12.75">
      <c r="A360" s="13" t="s">
        <v>322</v>
      </c>
      <c r="B360" s="55"/>
      <c r="C360" s="89">
        <v>2000</v>
      </c>
      <c r="D360" s="88"/>
      <c r="E360" s="73"/>
      <c r="F360" s="74">
        <f t="shared" si="125"/>
        <v>2000</v>
      </c>
      <c r="G360" s="75"/>
      <c r="H360" s="73"/>
      <c r="I360" s="74">
        <f t="shared" si="126"/>
        <v>2000</v>
      </c>
      <c r="J360" s="75">
        <f>269.95</f>
        <v>269.95</v>
      </c>
      <c r="K360" s="73"/>
      <c r="L360" s="136">
        <f t="shared" si="127"/>
        <v>2269.95</v>
      </c>
      <c r="M360" s="89">
        <f>72.6+1630</f>
        <v>1702.6</v>
      </c>
      <c r="N360" s="73"/>
      <c r="O360" s="74">
        <f t="shared" si="128"/>
        <v>3972.5499999999997</v>
      </c>
      <c r="P360" s="187"/>
      <c r="Q360" s="171">
        <f t="shared" si="129"/>
        <v>3972.5499999999997</v>
      </c>
      <c r="R360" s="171">
        <v>3506.24</v>
      </c>
      <c r="S360" s="168">
        <f t="shared" si="119"/>
        <v>88.26169588803162</v>
      </c>
    </row>
    <row r="361" spans="1:19" ht="12.75">
      <c r="A361" s="13" t="s">
        <v>339</v>
      </c>
      <c r="B361" s="55"/>
      <c r="C361" s="89"/>
      <c r="D361" s="88"/>
      <c r="E361" s="73"/>
      <c r="F361" s="74">
        <f t="shared" si="125"/>
        <v>0</v>
      </c>
      <c r="G361" s="75">
        <v>166.74</v>
      </c>
      <c r="H361" s="73"/>
      <c r="I361" s="74">
        <f t="shared" si="126"/>
        <v>166.74</v>
      </c>
      <c r="J361" s="75">
        <f>-166.74</f>
        <v>-166.74</v>
      </c>
      <c r="K361" s="73"/>
      <c r="L361" s="136">
        <f t="shared" si="127"/>
        <v>0</v>
      </c>
      <c r="M361" s="89">
        <f>278.85</f>
        <v>278.85</v>
      </c>
      <c r="N361" s="73"/>
      <c r="O361" s="74">
        <f t="shared" si="128"/>
        <v>278.85</v>
      </c>
      <c r="P361" s="187">
        <f>96.11</f>
        <v>96.11</v>
      </c>
      <c r="Q361" s="171">
        <f t="shared" si="129"/>
        <v>374.96000000000004</v>
      </c>
      <c r="R361" s="171">
        <v>374.96</v>
      </c>
      <c r="S361" s="168">
        <f t="shared" si="119"/>
        <v>99.99999999999999</v>
      </c>
    </row>
    <row r="362" spans="1:19" ht="12.75">
      <c r="A362" s="13" t="s">
        <v>252</v>
      </c>
      <c r="B362" s="55"/>
      <c r="C362" s="89"/>
      <c r="D362" s="88">
        <f>55.43+1201.26+25.6+25.6+157.3</f>
        <v>1465.1899999999998</v>
      </c>
      <c r="E362" s="73"/>
      <c r="F362" s="74">
        <f t="shared" si="125"/>
        <v>1465.1899999999998</v>
      </c>
      <c r="G362" s="75"/>
      <c r="H362" s="73"/>
      <c r="I362" s="74">
        <f t="shared" si="126"/>
        <v>1465.1899999999998</v>
      </c>
      <c r="J362" s="158">
        <f>165.54+80.7+14.24</f>
        <v>260.48</v>
      </c>
      <c r="K362" s="73"/>
      <c r="L362" s="136">
        <f t="shared" si="127"/>
        <v>1725.6699999999998</v>
      </c>
      <c r="M362" s="89"/>
      <c r="N362" s="73"/>
      <c r="O362" s="74">
        <f t="shared" si="128"/>
        <v>1725.6699999999998</v>
      </c>
      <c r="P362" s="187"/>
      <c r="Q362" s="171">
        <f t="shared" si="129"/>
        <v>1725.6699999999998</v>
      </c>
      <c r="R362" s="171">
        <v>1702.61</v>
      </c>
      <c r="S362" s="168">
        <f t="shared" si="119"/>
        <v>98.66370742957808</v>
      </c>
    </row>
    <row r="363" spans="1:19" ht="12.75">
      <c r="A363" s="13" t="s">
        <v>259</v>
      </c>
      <c r="B363" s="55"/>
      <c r="C363" s="89">
        <v>7000</v>
      </c>
      <c r="D363" s="88">
        <f>23.43+233.51</f>
        <v>256.94</v>
      </c>
      <c r="E363" s="73"/>
      <c r="F363" s="74">
        <f t="shared" si="125"/>
        <v>7256.94</v>
      </c>
      <c r="G363" s="75">
        <f>149.58</f>
        <v>149.58</v>
      </c>
      <c r="H363" s="73"/>
      <c r="I363" s="74">
        <f t="shared" si="126"/>
        <v>7406.5199999999995</v>
      </c>
      <c r="J363" s="75"/>
      <c r="K363" s="73"/>
      <c r="L363" s="136">
        <f t="shared" si="127"/>
        <v>7406.5199999999995</v>
      </c>
      <c r="M363" s="89">
        <f>72.6+242</f>
        <v>314.6</v>
      </c>
      <c r="N363" s="73"/>
      <c r="O363" s="74">
        <f t="shared" si="128"/>
        <v>7721.12</v>
      </c>
      <c r="P363" s="187"/>
      <c r="Q363" s="171">
        <f t="shared" si="129"/>
        <v>7721.12</v>
      </c>
      <c r="R363" s="173">
        <v>667.45</v>
      </c>
      <c r="S363" s="168">
        <f t="shared" si="119"/>
        <v>8.644471268417018</v>
      </c>
    </row>
    <row r="364" spans="1:19" ht="12.75">
      <c r="A364" s="13" t="s">
        <v>268</v>
      </c>
      <c r="B364" s="55"/>
      <c r="C364" s="89"/>
      <c r="D364" s="88">
        <f>89.1</f>
        <v>89.1</v>
      </c>
      <c r="E364" s="73"/>
      <c r="F364" s="74">
        <f t="shared" si="125"/>
        <v>89.1</v>
      </c>
      <c r="G364" s="75"/>
      <c r="H364" s="73"/>
      <c r="I364" s="74">
        <f t="shared" si="126"/>
        <v>89.1</v>
      </c>
      <c r="J364" s="75"/>
      <c r="K364" s="73"/>
      <c r="L364" s="136">
        <f t="shared" si="127"/>
        <v>89.1</v>
      </c>
      <c r="M364" s="89">
        <f>540.93</f>
        <v>540.93</v>
      </c>
      <c r="N364" s="73"/>
      <c r="O364" s="74">
        <f t="shared" si="128"/>
        <v>630.03</v>
      </c>
      <c r="P364" s="189">
        <f>2933.6+22.45</f>
        <v>2956.0499999999997</v>
      </c>
      <c r="Q364" s="171">
        <f t="shared" si="129"/>
        <v>3586.08</v>
      </c>
      <c r="R364" s="173">
        <v>3497</v>
      </c>
      <c r="S364" s="168">
        <f t="shared" si="119"/>
        <v>97.51595056440459</v>
      </c>
    </row>
    <row r="365" spans="1:19" ht="12.75">
      <c r="A365" s="13" t="s">
        <v>266</v>
      </c>
      <c r="B365" s="55"/>
      <c r="C365" s="89"/>
      <c r="D365" s="88"/>
      <c r="E365" s="73"/>
      <c r="F365" s="74">
        <f t="shared" si="125"/>
        <v>0</v>
      </c>
      <c r="G365" s="75">
        <f>176.98</f>
        <v>176.98</v>
      </c>
      <c r="H365" s="73"/>
      <c r="I365" s="74">
        <f t="shared" si="126"/>
        <v>176.98</v>
      </c>
      <c r="J365" s="75">
        <f>1.77</f>
        <v>1.77</v>
      </c>
      <c r="K365" s="73"/>
      <c r="L365" s="136">
        <f t="shared" si="127"/>
        <v>178.75</v>
      </c>
      <c r="M365" s="89">
        <f>105</f>
        <v>105</v>
      </c>
      <c r="N365" s="73"/>
      <c r="O365" s="74">
        <f t="shared" si="128"/>
        <v>283.75</v>
      </c>
      <c r="P365" s="187">
        <f>500.52</f>
        <v>500.52</v>
      </c>
      <c r="Q365" s="171">
        <f t="shared" si="129"/>
        <v>784.27</v>
      </c>
      <c r="R365" s="171">
        <v>349.09</v>
      </c>
      <c r="S365" s="168">
        <f t="shared" si="119"/>
        <v>44.51145651370064</v>
      </c>
    </row>
    <row r="366" spans="1:19" ht="13.5" thickBot="1">
      <c r="A366" s="231" t="s">
        <v>243</v>
      </c>
      <c r="B366" s="238"/>
      <c r="C366" s="239"/>
      <c r="D366" s="240">
        <f>900</f>
        <v>900</v>
      </c>
      <c r="E366" s="234"/>
      <c r="F366" s="235">
        <f t="shared" si="125"/>
        <v>900</v>
      </c>
      <c r="G366" s="233"/>
      <c r="H366" s="234"/>
      <c r="I366" s="235">
        <f t="shared" si="126"/>
        <v>900</v>
      </c>
      <c r="J366" s="233"/>
      <c r="K366" s="234"/>
      <c r="L366" s="236">
        <f t="shared" si="127"/>
        <v>900</v>
      </c>
      <c r="M366" s="239"/>
      <c r="N366" s="234"/>
      <c r="O366" s="235">
        <f t="shared" si="128"/>
        <v>900</v>
      </c>
      <c r="P366" s="205"/>
      <c r="Q366" s="164">
        <f t="shared" si="129"/>
        <v>900</v>
      </c>
      <c r="R366" s="164">
        <v>0</v>
      </c>
      <c r="S366" s="184">
        <f t="shared" si="119"/>
        <v>0</v>
      </c>
    </row>
    <row r="367" spans="1:19" ht="12.75">
      <c r="A367" s="19" t="s">
        <v>70</v>
      </c>
      <c r="B367" s="59"/>
      <c r="C367" s="80">
        <f aca="true" t="shared" si="131" ref="C367:P367">SUM(C369:C383)</f>
        <v>537657.6</v>
      </c>
      <c r="D367" s="81">
        <f t="shared" si="131"/>
        <v>560348.48</v>
      </c>
      <c r="E367" s="81">
        <f t="shared" si="131"/>
        <v>0</v>
      </c>
      <c r="F367" s="82">
        <f t="shared" si="131"/>
        <v>1098006.0799999998</v>
      </c>
      <c r="G367" s="80">
        <f t="shared" si="131"/>
        <v>243572.03000000003</v>
      </c>
      <c r="H367" s="81">
        <f t="shared" si="131"/>
        <v>24500.84</v>
      </c>
      <c r="I367" s="82">
        <f t="shared" si="131"/>
        <v>1366078.9499999997</v>
      </c>
      <c r="J367" s="80">
        <f t="shared" si="131"/>
        <v>413799.3999999999</v>
      </c>
      <c r="K367" s="81">
        <f t="shared" si="131"/>
        <v>-3800</v>
      </c>
      <c r="L367" s="140">
        <f t="shared" si="131"/>
        <v>1776078.3499999999</v>
      </c>
      <c r="M367" s="80">
        <f t="shared" si="131"/>
        <v>190233.02000000002</v>
      </c>
      <c r="N367" s="81">
        <f t="shared" si="131"/>
        <v>0</v>
      </c>
      <c r="O367" s="82">
        <f t="shared" si="131"/>
        <v>1966311.3699999996</v>
      </c>
      <c r="P367" s="193">
        <f t="shared" si="131"/>
        <v>233669.97999999998</v>
      </c>
      <c r="Q367" s="176">
        <f>SUM(Q369:Q383)</f>
        <v>2199981.3499999996</v>
      </c>
      <c r="R367" s="176">
        <f>SUM(R369:R383)</f>
        <v>1342259.31</v>
      </c>
      <c r="S367" s="214">
        <f t="shared" si="119"/>
        <v>61.01230403612286</v>
      </c>
    </row>
    <row r="368" spans="1:21" ht="12.75">
      <c r="A368" s="17" t="s">
        <v>35</v>
      </c>
      <c r="B368" s="55"/>
      <c r="C368" s="75"/>
      <c r="D368" s="73"/>
      <c r="E368" s="73"/>
      <c r="F368" s="74"/>
      <c r="G368" s="75"/>
      <c r="H368" s="73"/>
      <c r="I368" s="74"/>
      <c r="J368" s="75"/>
      <c r="K368" s="73"/>
      <c r="L368" s="136"/>
      <c r="M368" s="89"/>
      <c r="N368" s="73"/>
      <c r="O368" s="74"/>
      <c r="P368" s="187"/>
      <c r="Q368" s="171"/>
      <c r="R368" s="171"/>
      <c r="S368" s="168"/>
      <c r="U368" s="130"/>
    </row>
    <row r="369" spans="1:19" ht="12.75">
      <c r="A369" s="17" t="s">
        <v>239</v>
      </c>
      <c r="B369" s="55"/>
      <c r="C369" s="75"/>
      <c r="D369" s="73">
        <f>100</f>
        <v>100</v>
      </c>
      <c r="E369" s="73"/>
      <c r="F369" s="74">
        <f aca="true" t="shared" si="132" ref="F369:F394">C369+D369+E369</f>
        <v>100</v>
      </c>
      <c r="G369" s="75"/>
      <c r="H369" s="73"/>
      <c r="I369" s="74">
        <f aca="true" t="shared" si="133" ref="I369:I394">F369+G369+H369</f>
        <v>100</v>
      </c>
      <c r="J369" s="75"/>
      <c r="K369" s="73"/>
      <c r="L369" s="136">
        <f aca="true" t="shared" si="134" ref="L369:L394">I369+J369+K369</f>
        <v>100</v>
      </c>
      <c r="M369" s="89"/>
      <c r="N369" s="73"/>
      <c r="O369" s="74">
        <f aca="true" t="shared" si="135" ref="O369:O394">L369+M369+N369</f>
        <v>100</v>
      </c>
      <c r="P369" s="187"/>
      <c r="Q369" s="171">
        <f aca="true" t="shared" si="136" ref="Q369:Q393">O369+P369</f>
        <v>100</v>
      </c>
      <c r="R369" s="171">
        <v>0</v>
      </c>
      <c r="S369" s="168">
        <f t="shared" si="119"/>
        <v>0</v>
      </c>
    </row>
    <row r="370" spans="1:19" ht="12.75">
      <c r="A370" s="17" t="s">
        <v>238</v>
      </c>
      <c r="B370" s="55" t="s">
        <v>347</v>
      </c>
      <c r="C370" s="75">
        <v>4607.6</v>
      </c>
      <c r="D370" s="73">
        <f>1238.6</f>
        <v>1238.6</v>
      </c>
      <c r="E370" s="73"/>
      <c r="F370" s="74">
        <f t="shared" si="132"/>
        <v>5846.200000000001</v>
      </c>
      <c r="G370" s="75">
        <f>1712.86</f>
        <v>1712.86</v>
      </c>
      <c r="H370" s="73"/>
      <c r="I370" s="74">
        <f t="shared" si="133"/>
        <v>7559.06</v>
      </c>
      <c r="J370" s="75">
        <f>1857.8-1165.3</f>
        <v>692.5</v>
      </c>
      <c r="K370" s="73"/>
      <c r="L370" s="136">
        <f t="shared" si="134"/>
        <v>8251.560000000001</v>
      </c>
      <c r="M370" s="89">
        <f>-44.67</f>
        <v>-44.67</v>
      </c>
      <c r="N370" s="73"/>
      <c r="O370" s="74">
        <f t="shared" si="135"/>
        <v>8206.890000000001</v>
      </c>
      <c r="P370" s="187"/>
      <c r="Q370" s="171">
        <f t="shared" si="136"/>
        <v>8206.890000000001</v>
      </c>
      <c r="R370" s="171">
        <v>4708.38</v>
      </c>
      <c r="S370" s="168">
        <f t="shared" si="119"/>
        <v>57.37106260715081</v>
      </c>
    </row>
    <row r="371" spans="1:19" ht="12.75">
      <c r="A371" s="17" t="s">
        <v>229</v>
      </c>
      <c r="B371" s="55"/>
      <c r="C371" s="75">
        <v>13580</v>
      </c>
      <c r="D371" s="73"/>
      <c r="E371" s="73"/>
      <c r="F371" s="74">
        <f t="shared" si="132"/>
        <v>13580</v>
      </c>
      <c r="G371" s="75"/>
      <c r="H371" s="73"/>
      <c r="I371" s="74">
        <f t="shared" si="133"/>
        <v>13580</v>
      </c>
      <c r="J371" s="75"/>
      <c r="K371" s="73"/>
      <c r="L371" s="136">
        <f t="shared" si="134"/>
        <v>13580</v>
      </c>
      <c r="M371" s="89"/>
      <c r="N371" s="73"/>
      <c r="O371" s="74">
        <f t="shared" si="135"/>
        <v>13580</v>
      </c>
      <c r="P371" s="187"/>
      <c r="Q371" s="171">
        <f t="shared" si="136"/>
        <v>13580</v>
      </c>
      <c r="R371" s="171">
        <v>12891.41</v>
      </c>
      <c r="S371" s="168">
        <f t="shared" si="119"/>
        <v>94.92938144329896</v>
      </c>
    </row>
    <row r="372" spans="1:19" ht="12.75">
      <c r="A372" s="17" t="s">
        <v>390</v>
      </c>
      <c r="B372" s="55">
        <v>3000</v>
      </c>
      <c r="C372" s="75"/>
      <c r="D372" s="88">
        <f>3993.97</f>
        <v>3993.97</v>
      </c>
      <c r="E372" s="88"/>
      <c r="F372" s="74">
        <f t="shared" si="132"/>
        <v>3993.97</v>
      </c>
      <c r="G372" s="75"/>
      <c r="H372" s="73"/>
      <c r="I372" s="74">
        <f t="shared" si="133"/>
        <v>3993.97</v>
      </c>
      <c r="J372" s="75"/>
      <c r="K372" s="73"/>
      <c r="L372" s="136">
        <f t="shared" si="134"/>
        <v>3993.97</v>
      </c>
      <c r="M372" s="89"/>
      <c r="N372" s="73"/>
      <c r="O372" s="74">
        <f t="shared" si="135"/>
        <v>3993.97</v>
      </c>
      <c r="P372" s="187"/>
      <c r="Q372" s="171">
        <f t="shared" si="136"/>
        <v>3993.97</v>
      </c>
      <c r="R372" s="171">
        <v>3991.19</v>
      </c>
      <c r="S372" s="168">
        <f t="shared" si="119"/>
        <v>99.93039507056889</v>
      </c>
    </row>
    <row r="373" spans="1:19" ht="12.75">
      <c r="A373" s="17" t="s">
        <v>393</v>
      </c>
      <c r="B373" s="55"/>
      <c r="C373" s="75">
        <v>350000</v>
      </c>
      <c r="D373" s="111">
        <f>24918.96+50000</f>
        <v>74918.95999999999</v>
      </c>
      <c r="E373" s="111"/>
      <c r="F373" s="74">
        <f t="shared" si="132"/>
        <v>424918.95999999996</v>
      </c>
      <c r="G373" s="75">
        <f>-100000</f>
        <v>-100000</v>
      </c>
      <c r="H373" s="73"/>
      <c r="I373" s="74">
        <f t="shared" si="133"/>
        <v>324918.95999999996</v>
      </c>
      <c r="J373" s="75">
        <f>20000</f>
        <v>20000</v>
      </c>
      <c r="K373" s="73"/>
      <c r="L373" s="136">
        <f t="shared" si="134"/>
        <v>344918.95999999996</v>
      </c>
      <c r="M373" s="89"/>
      <c r="N373" s="73"/>
      <c r="O373" s="74">
        <f t="shared" si="135"/>
        <v>344918.95999999996</v>
      </c>
      <c r="P373" s="189">
        <f>-23000-383.24</f>
        <v>-23383.24</v>
      </c>
      <c r="Q373" s="171">
        <f t="shared" si="136"/>
        <v>321535.72</v>
      </c>
      <c r="R373" s="173">
        <v>31225.72</v>
      </c>
      <c r="S373" s="168">
        <f t="shared" si="119"/>
        <v>9.711431128087417</v>
      </c>
    </row>
    <row r="374" spans="1:19" ht="12.75">
      <c r="A374" s="17" t="s">
        <v>254</v>
      </c>
      <c r="B374" s="55" t="s">
        <v>256</v>
      </c>
      <c r="C374" s="75">
        <v>20000</v>
      </c>
      <c r="D374" s="88">
        <f>223.92</f>
        <v>223.92</v>
      </c>
      <c r="E374" s="88"/>
      <c r="F374" s="74">
        <f t="shared" si="132"/>
        <v>20223.92</v>
      </c>
      <c r="G374" s="75">
        <f>-20000</f>
        <v>-20000</v>
      </c>
      <c r="H374" s="73"/>
      <c r="I374" s="74">
        <f t="shared" si="133"/>
        <v>223.91999999999825</v>
      </c>
      <c r="J374" s="75"/>
      <c r="K374" s="73"/>
      <c r="L374" s="136">
        <f t="shared" si="134"/>
        <v>223.91999999999825</v>
      </c>
      <c r="M374" s="89"/>
      <c r="N374" s="73"/>
      <c r="O374" s="74">
        <f t="shared" si="135"/>
        <v>223.91999999999825</v>
      </c>
      <c r="P374" s="187"/>
      <c r="Q374" s="171">
        <f t="shared" si="136"/>
        <v>223.91999999999825</v>
      </c>
      <c r="R374" s="171">
        <v>0</v>
      </c>
      <c r="S374" s="168">
        <f t="shared" si="119"/>
        <v>0</v>
      </c>
    </row>
    <row r="375" spans="1:19" ht="12.75">
      <c r="A375" s="17" t="s">
        <v>338</v>
      </c>
      <c r="B375" s="55" t="s">
        <v>346</v>
      </c>
      <c r="C375" s="75"/>
      <c r="D375" s="88"/>
      <c r="E375" s="88"/>
      <c r="F375" s="74">
        <f t="shared" si="132"/>
        <v>0</v>
      </c>
      <c r="G375" s="75">
        <f>10000</f>
        <v>10000</v>
      </c>
      <c r="H375" s="73"/>
      <c r="I375" s="74">
        <f t="shared" si="133"/>
        <v>10000</v>
      </c>
      <c r="J375" s="75"/>
      <c r="K375" s="73"/>
      <c r="L375" s="136">
        <f t="shared" si="134"/>
        <v>10000</v>
      </c>
      <c r="M375" s="89"/>
      <c r="N375" s="73"/>
      <c r="O375" s="74">
        <f t="shared" si="135"/>
        <v>10000</v>
      </c>
      <c r="P375" s="187"/>
      <c r="Q375" s="171">
        <f t="shared" si="136"/>
        <v>10000</v>
      </c>
      <c r="R375" s="171">
        <v>871.07</v>
      </c>
      <c r="S375" s="168">
        <f t="shared" si="119"/>
        <v>8.710700000000001</v>
      </c>
    </row>
    <row r="376" spans="1:19" ht="12.75">
      <c r="A376" s="17" t="s">
        <v>230</v>
      </c>
      <c r="B376" s="55" t="s">
        <v>255</v>
      </c>
      <c r="C376" s="75">
        <f>35000+8000</f>
        <v>43000</v>
      </c>
      <c r="D376" s="88">
        <f>39113.15</f>
        <v>39113.15</v>
      </c>
      <c r="E376" s="88"/>
      <c r="F376" s="74">
        <f t="shared" si="132"/>
        <v>82113.15</v>
      </c>
      <c r="G376" s="75">
        <f>8000</f>
        <v>8000</v>
      </c>
      <c r="H376" s="73"/>
      <c r="I376" s="74">
        <f t="shared" si="133"/>
        <v>90113.15</v>
      </c>
      <c r="J376" s="75"/>
      <c r="K376" s="73"/>
      <c r="L376" s="136">
        <f t="shared" si="134"/>
        <v>90113.15</v>
      </c>
      <c r="M376" s="89"/>
      <c r="N376" s="73"/>
      <c r="O376" s="74">
        <f t="shared" si="135"/>
        <v>90113.15</v>
      </c>
      <c r="P376" s="187">
        <f>-20030.47</f>
        <v>-20030.47</v>
      </c>
      <c r="Q376" s="171">
        <f t="shared" si="136"/>
        <v>70082.68</v>
      </c>
      <c r="R376" s="171">
        <v>13190.24</v>
      </c>
      <c r="S376" s="168">
        <f t="shared" si="119"/>
        <v>18.82096974601999</v>
      </c>
    </row>
    <row r="377" spans="1:19" ht="12.75">
      <c r="A377" s="17" t="s">
        <v>327</v>
      </c>
      <c r="B377" s="55">
        <v>22777</v>
      </c>
      <c r="C377" s="75"/>
      <c r="D377" s="88"/>
      <c r="E377" s="88"/>
      <c r="F377" s="74">
        <f t="shared" si="132"/>
        <v>0</v>
      </c>
      <c r="G377" s="75">
        <v>347.38</v>
      </c>
      <c r="H377" s="73"/>
      <c r="I377" s="74">
        <f t="shared" si="133"/>
        <v>347.38</v>
      </c>
      <c r="J377" s="75">
        <f>4816.76+12805.85+3002.71+34407.1</f>
        <v>55032.42</v>
      </c>
      <c r="K377" s="73"/>
      <c r="L377" s="136">
        <f t="shared" si="134"/>
        <v>55379.799999999996</v>
      </c>
      <c r="M377" s="89">
        <f>12165.43</f>
        <v>12165.43</v>
      </c>
      <c r="N377" s="73"/>
      <c r="O377" s="74">
        <f t="shared" si="135"/>
        <v>67545.23</v>
      </c>
      <c r="P377" s="187">
        <f>27048.69+21192.65+263.18+17326.19+19919.94-816.67</f>
        <v>84933.98</v>
      </c>
      <c r="Q377" s="171">
        <f t="shared" si="136"/>
        <v>152479.21</v>
      </c>
      <c r="R377" s="171">
        <v>152243.39</v>
      </c>
      <c r="S377" s="168">
        <f t="shared" si="119"/>
        <v>99.84534285034663</v>
      </c>
    </row>
    <row r="378" spans="1:19" ht="12.75">
      <c r="A378" s="17" t="s">
        <v>367</v>
      </c>
      <c r="B378" s="55">
        <v>35672</v>
      </c>
      <c r="C378" s="75"/>
      <c r="D378" s="88"/>
      <c r="E378" s="88"/>
      <c r="F378" s="74"/>
      <c r="G378" s="75"/>
      <c r="H378" s="73"/>
      <c r="I378" s="74"/>
      <c r="J378" s="75"/>
      <c r="K378" s="73"/>
      <c r="L378" s="136"/>
      <c r="M378" s="89"/>
      <c r="N378" s="73"/>
      <c r="O378" s="74">
        <f t="shared" si="135"/>
        <v>0</v>
      </c>
      <c r="P378" s="187">
        <v>788.51</v>
      </c>
      <c r="Q378" s="171">
        <f t="shared" si="136"/>
        <v>788.51</v>
      </c>
      <c r="R378" s="171">
        <v>788.51</v>
      </c>
      <c r="S378" s="168">
        <f t="shared" si="119"/>
        <v>100</v>
      </c>
    </row>
    <row r="379" spans="1:19" ht="12.75">
      <c r="A379" s="17" t="s">
        <v>350</v>
      </c>
      <c r="B379" s="55">
        <v>13899</v>
      </c>
      <c r="C379" s="75"/>
      <c r="D379" s="88"/>
      <c r="E379" s="88"/>
      <c r="F379" s="74"/>
      <c r="G379" s="75"/>
      <c r="H379" s="73"/>
      <c r="I379" s="74">
        <f t="shared" si="133"/>
        <v>0</v>
      </c>
      <c r="J379" s="75">
        <f>578.41+13.31+4323.18+1285.28+861.43</f>
        <v>7061.610000000001</v>
      </c>
      <c r="K379" s="73"/>
      <c r="L379" s="136">
        <f t="shared" si="134"/>
        <v>7061.610000000001</v>
      </c>
      <c r="M379" s="75">
        <f>6.05+5047.08+2848.11+6.05+2662.33+679.46+1449.19+5090.78+880.13</f>
        <v>18669.18</v>
      </c>
      <c r="N379" s="73"/>
      <c r="O379" s="74">
        <f t="shared" si="135"/>
        <v>25730.79</v>
      </c>
      <c r="P379" s="187">
        <f>15.73+948.05+2340.81-12.1</f>
        <v>3292.4900000000002</v>
      </c>
      <c r="Q379" s="171">
        <f t="shared" si="136"/>
        <v>29023.280000000002</v>
      </c>
      <c r="R379" s="171">
        <v>29023.27</v>
      </c>
      <c r="S379" s="168">
        <f t="shared" si="119"/>
        <v>99.9999655449005</v>
      </c>
    </row>
    <row r="380" spans="1:19" ht="12.75">
      <c r="A380" s="17" t="s">
        <v>335</v>
      </c>
      <c r="B380" s="55">
        <v>85505</v>
      </c>
      <c r="C380" s="75"/>
      <c r="D380" s="88"/>
      <c r="E380" s="88"/>
      <c r="F380" s="74">
        <f t="shared" si="132"/>
        <v>0</v>
      </c>
      <c r="G380" s="75">
        <f>2432.08+619.16+1667.86+2389.99+1834.97</f>
        <v>8944.06</v>
      </c>
      <c r="H380" s="73"/>
      <c r="I380" s="74">
        <f t="shared" si="133"/>
        <v>8944.06</v>
      </c>
      <c r="J380" s="75">
        <f>2998.81</f>
        <v>2998.81</v>
      </c>
      <c r="K380" s="73"/>
      <c r="L380" s="136">
        <f t="shared" si="134"/>
        <v>11942.869999999999</v>
      </c>
      <c r="M380" s="75">
        <f>458.82+1380.18+1604.91+1576.07+1495.08</f>
        <v>6515.0599999999995</v>
      </c>
      <c r="N380" s="73"/>
      <c r="O380" s="74">
        <f t="shared" si="135"/>
        <v>18457.93</v>
      </c>
      <c r="P380" s="189">
        <f>3030.52+2397.3</f>
        <v>5427.82</v>
      </c>
      <c r="Q380" s="171">
        <f t="shared" si="136"/>
        <v>23885.75</v>
      </c>
      <c r="R380" s="173">
        <v>23885.75</v>
      </c>
      <c r="S380" s="168">
        <f t="shared" si="119"/>
        <v>100</v>
      </c>
    </row>
    <row r="381" spans="1:19" ht="12.75">
      <c r="A381" s="17" t="s">
        <v>399</v>
      </c>
      <c r="B381" s="55">
        <v>91628</v>
      </c>
      <c r="C381" s="75"/>
      <c r="D381" s="88"/>
      <c r="E381" s="88"/>
      <c r="F381" s="74">
        <f t="shared" si="132"/>
        <v>0</v>
      </c>
      <c r="G381" s="75">
        <v>130372</v>
      </c>
      <c r="H381" s="73"/>
      <c r="I381" s="74">
        <f t="shared" si="133"/>
        <v>130372</v>
      </c>
      <c r="J381" s="75">
        <f>164154</f>
        <v>164154</v>
      </c>
      <c r="K381" s="73"/>
      <c r="L381" s="136">
        <f t="shared" si="134"/>
        <v>294526</v>
      </c>
      <c r="M381" s="89"/>
      <c r="N381" s="73"/>
      <c r="O381" s="74">
        <f t="shared" si="135"/>
        <v>294526</v>
      </c>
      <c r="P381" s="187">
        <f>325.6-4819.21</f>
        <v>-4493.61</v>
      </c>
      <c r="Q381" s="171">
        <f t="shared" si="136"/>
        <v>290032.39</v>
      </c>
      <c r="R381" s="171">
        <v>290032.39</v>
      </c>
      <c r="S381" s="168">
        <f t="shared" si="119"/>
        <v>100</v>
      </c>
    </row>
    <row r="382" spans="1:19" ht="12.75">
      <c r="A382" s="17" t="s">
        <v>316</v>
      </c>
      <c r="B382" s="55"/>
      <c r="C382" s="75"/>
      <c r="D382" s="88">
        <f>697.96</f>
        <v>697.96</v>
      </c>
      <c r="E382" s="88"/>
      <c r="F382" s="74">
        <f t="shared" si="132"/>
        <v>697.96</v>
      </c>
      <c r="G382" s="75"/>
      <c r="H382" s="73"/>
      <c r="I382" s="74">
        <f t="shared" si="133"/>
        <v>697.96</v>
      </c>
      <c r="J382" s="75"/>
      <c r="K382" s="73"/>
      <c r="L382" s="136">
        <f t="shared" si="134"/>
        <v>697.96</v>
      </c>
      <c r="M382" s="89"/>
      <c r="N382" s="73"/>
      <c r="O382" s="74">
        <f t="shared" si="135"/>
        <v>697.96</v>
      </c>
      <c r="P382" s="187"/>
      <c r="Q382" s="171">
        <f t="shared" si="136"/>
        <v>697.96</v>
      </c>
      <c r="R382" s="171">
        <v>697.96</v>
      </c>
      <c r="S382" s="168">
        <f t="shared" si="119"/>
        <v>100</v>
      </c>
    </row>
    <row r="383" spans="1:19" ht="12.75">
      <c r="A383" s="17" t="s">
        <v>231</v>
      </c>
      <c r="B383" s="55"/>
      <c r="C383" s="75">
        <f>SUM(C384:C394)</f>
        <v>106470</v>
      </c>
      <c r="D383" s="75">
        <f aca="true" t="shared" si="137" ref="D383:Q383">SUM(D384:D394)</f>
        <v>440061.9199999999</v>
      </c>
      <c r="E383" s="75">
        <f t="shared" si="137"/>
        <v>0</v>
      </c>
      <c r="F383" s="75">
        <f t="shared" si="137"/>
        <v>546531.9199999999</v>
      </c>
      <c r="G383" s="75">
        <f t="shared" si="137"/>
        <v>204195.73</v>
      </c>
      <c r="H383" s="73">
        <f t="shared" si="137"/>
        <v>24500.84</v>
      </c>
      <c r="I383" s="74">
        <f t="shared" si="137"/>
        <v>775228.4899999999</v>
      </c>
      <c r="J383" s="75">
        <f t="shared" si="137"/>
        <v>163860.05999999994</v>
      </c>
      <c r="K383" s="73">
        <f t="shared" si="137"/>
        <v>-3800</v>
      </c>
      <c r="L383" s="136">
        <f t="shared" si="137"/>
        <v>935288.5499999999</v>
      </c>
      <c r="M383" s="75">
        <f>SUM(M384:M394)</f>
        <v>152928.02000000002</v>
      </c>
      <c r="N383" s="128">
        <f t="shared" si="137"/>
        <v>0</v>
      </c>
      <c r="O383" s="74">
        <f t="shared" si="137"/>
        <v>1088216.5699999998</v>
      </c>
      <c r="P383" s="190">
        <f t="shared" si="137"/>
        <v>187134.5</v>
      </c>
      <c r="Q383" s="174">
        <f t="shared" si="137"/>
        <v>1275351.0699999998</v>
      </c>
      <c r="R383" s="174">
        <f>SUM(R384:R394)</f>
        <v>778710.0299999999</v>
      </c>
      <c r="S383" s="168">
        <f t="shared" si="119"/>
        <v>61.05848407685893</v>
      </c>
    </row>
    <row r="384" spans="1:19" ht="12.75">
      <c r="A384" s="17" t="s">
        <v>232</v>
      </c>
      <c r="B384" s="55"/>
      <c r="C384" s="75">
        <v>2780</v>
      </c>
      <c r="D384" s="88">
        <f>19258.36+632.4+240.01</f>
        <v>20130.77</v>
      </c>
      <c r="E384" s="73"/>
      <c r="F384" s="74">
        <f t="shared" si="132"/>
        <v>22910.77</v>
      </c>
      <c r="G384" s="75"/>
      <c r="H384" s="88"/>
      <c r="I384" s="74">
        <f t="shared" si="133"/>
        <v>22910.77</v>
      </c>
      <c r="J384" s="75">
        <f>-1300</f>
        <v>-1300</v>
      </c>
      <c r="K384" s="73"/>
      <c r="L384" s="136">
        <f t="shared" si="134"/>
        <v>21610.77</v>
      </c>
      <c r="M384" s="89">
        <f>-500</f>
        <v>-500</v>
      </c>
      <c r="N384" s="73"/>
      <c r="O384" s="74">
        <f t="shared" si="135"/>
        <v>21110.77</v>
      </c>
      <c r="P384" s="187">
        <f>2565</f>
        <v>2565</v>
      </c>
      <c r="Q384" s="171">
        <f t="shared" si="136"/>
        <v>23675.77</v>
      </c>
      <c r="R384" s="171">
        <v>0</v>
      </c>
      <c r="S384" s="168">
        <f t="shared" si="119"/>
        <v>0</v>
      </c>
    </row>
    <row r="385" spans="1:19" ht="12.75">
      <c r="A385" s="17" t="s">
        <v>270</v>
      </c>
      <c r="B385" s="55"/>
      <c r="C385" s="75">
        <v>1000</v>
      </c>
      <c r="D385" s="88"/>
      <c r="E385" s="73"/>
      <c r="F385" s="74">
        <f t="shared" si="132"/>
        <v>1000</v>
      </c>
      <c r="G385" s="75"/>
      <c r="H385" s="88"/>
      <c r="I385" s="74">
        <f t="shared" si="133"/>
        <v>1000</v>
      </c>
      <c r="J385" s="75"/>
      <c r="K385" s="73"/>
      <c r="L385" s="136">
        <f t="shared" si="134"/>
        <v>1000</v>
      </c>
      <c r="M385" s="89"/>
      <c r="N385" s="73"/>
      <c r="O385" s="74">
        <f t="shared" si="135"/>
        <v>1000</v>
      </c>
      <c r="P385" s="187"/>
      <c r="Q385" s="171">
        <f t="shared" si="136"/>
        <v>1000</v>
      </c>
      <c r="R385" s="171">
        <v>1000</v>
      </c>
      <c r="S385" s="168">
        <f t="shared" si="119"/>
        <v>100</v>
      </c>
    </row>
    <row r="386" spans="1:19" ht="12.75">
      <c r="A386" s="17" t="s">
        <v>240</v>
      </c>
      <c r="B386" s="55"/>
      <c r="C386" s="75">
        <v>420</v>
      </c>
      <c r="D386" s="88">
        <f>4000</f>
        <v>4000</v>
      </c>
      <c r="E386" s="73"/>
      <c r="F386" s="74">
        <f t="shared" si="132"/>
        <v>4420</v>
      </c>
      <c r="G386" s="75"/>
      <c r="H386" s="73"/>
      <c r="I386" s="74">
        <f t="shared" si="133"/>
        <v>4420</v>
      </c>
      <c r="J386" s="75"/>
      <c r="K386" s="73"/>
      <c r="L386" s="136">
        <f t="shared" si="134"/>
        <v>4420</v>
      </c>
      <c r="M386" s="89">
        <f>-4000</f>
        <v>-4000</v>
      </c>
      <c r="N386" s="73"/>
      <c r="O386" s="74">
        <f t="shared" si="135"/>
        <v>420</v>
      </c>
      <c r="P386" s="187"/>
      <c r="Q386" s="171">
        <f t="shared" si="136"/>
        <v>420</v>
      </c>
      <c r="R386" s="171">
        <v>0</v>
      </c>
      <c r="S386" s="168">
        <f t="shared" si="119"/>
        <v>0</v>
      </c>
    </row>
    <row r="387" spans="1:19" ht="12.75">
      <c r="A387" s="17" t="s">
        <v>303</v>
      </c>
      <c r="B387" s="55"/>
      <c r="C387" s="75">
        <v>10000</v>
      </c>
      <c r="D387" s="88">
        <f>30951.18</f>
        <v>30951.18</v>
      </c>
      <c r="E387" s="73"/>
      <c r="F387" s="74">
        <f t="shared" si="132"/>
        <v>40951.18</v>
      </c>
      <c r="G387" s="75">
        <f>5872.87</f>
        <v>5872.87</v>
      </c>
      <c r="H387" s="73"/>
      <c r="I387" s="74">
        <f t="shared" si="133"/>
        <v>46824.05</v>
      </c>
      <c r="J387" s="75">
        <f>12629.53+11202.72</f>
        <v>23832.25</v>
      </c>
      <c r="K387" s="73"/>
      <c r="L387" s="136">
        <f t="shared" si="134"/>
        <v>70656.3</v>
      </c>
      <c r="M387" s="89">
        <f>19213.52-72.6-1630</f>
        <v>17510.920000000002</v>
      </c>
      <c r="N387" s="73"/>
      <c r="O387" s="74">
        <f t="shared" si="135"/>
        <v>88167.22</v>
      </c>
      <c r="P387" s="187">
        <f>60.5+28891.67</f>
        <v>28952.17</v>
      </c>
      <c r="Q387" s="171">
        <f t="shared" si="136"/>
        <v>117119.39</v>
      </c>
      <c r="R387" s="171">
        <v>91728.31</v>
      </c>
      <c r="S387" s="168">
        <f t="shared" si="119"/>
        <v>78.32034473540205</v>
      </c>
    </row>
    <row r="388" spans="1:19" ht="12.75">
      <c r="A388" s="17" t="s">
        <v>233</v>
      </c>
      <c r="B388" s="55"/>
      <c r="C388" s="75">
        <v>37500</v>
      </c>
      <c r="D388" s="88">
        <f>2135.26+36348.75+35000+375.06+19787.05+3264.31</f>
        <v>96910.43000000001</v>
      </c>
      <c r="E388" s="73"/>
      <c r="F388" s="74">
        <f t="shared" si="132"/>
        <v>134410.43</v>
      </c>
      <c r="G388" s="75">
        <f>348.63+12903.81+11877.24+748.24+16555.31+12098.93+1360.23+8443.79-500</f>
        <v>63836.18000000001</v>
      </c>
      <c r="H388" s="73"/>
      <c r="I388" s="74">
        <f t="shared" si="133"/>
        <v>198246.61</v>
      </c>
      <c r="J388" s="75">
        <f>1776.4+1306.39+14500.64+14309.61+14659.14+10294.45+6485.51+4707.22+61988.88+22.06+26.9+1161.79+10000+166.74</f>
        <v>141405.72999999998</v>
      </c>
      <c r="K388" s="73"/>
      <c r="L388" s="136">
        <f t="shared" si="134"/>
        <v>339652.33999999997</v>
      </c>
      <c r="M388" s="89">
        <f>1669.21+15.14+8839.15+60907.96+657.64+13.47+13358.96-278.85</f>
        <v>85182.68</v>
      </c>
      <c r="N388" s="73"/>
      <c r="O388" s="74">
        <f t="shared" si="135"/>
        <v>424835.01999999996</v>
      </c>
      <c r="P388" s="189">
        <f>12184.35+337.9+5773.27+8750.4+44081.26+22318.13-96.11</f>
        <v>93349.2</v>
      </c>
      <c r="Q388" s="171">
        <f t="shared" si="136"/>
        <v>518184.22</v>
      </c>
      <c r="R388" s="173">
        <v>357632.76</v>
      </c>
      <c r="S388" s="168">
        <f t="shared" si="119"/>
        <v>69.01652852338886</v>
      </c>
    </row>
    <row r="389" spans="1:19" ht="12.75">
      <c r="A389" s="17" t="s">
        <v>234</v>
      </c>
      <c r="B389" s="55"/>
      <c r="C389" s="75"/>
      <c r="D389" s="88">
        <f>10240.44+12.1+613.59+419.46+2044.9-25.6-25.6</f>
        <v>13279.289999999999</v>
      </c>
      <c r="E389" s="73"/>
      <c r="F389" s="74">
        <f t="shared" si="132"/>
        <v>13279.289999999999</v>
      </c>
      <c r="G389" s="75">
        <f>692.31+662.42+988.8+553.11+3252.91+1120.49+748.76+15.73+346.28+1595.08+400</f>
        <v>10375.89</v>
      </c>
      <c r="H389" s="73"/>
      <c r="I389" s="74">
        <f t="shared" si="133"/>
        <v>23655.18</v>
      </c>
      <c r="J389" s="75">
        <f>2309.43+132.35+946.22+252.25+3258.34+964.59+2324.79+74.05+450+445.89+56.72+1243.05+583.12+808.35+1195.94+211.05+2964.52+2374.24+925.4+3833.98+27+704.74+48.16</f>
        <v>26134.180000000004</v>
      </c>
      <c r="K389" s="73"/>
      <c r="L389" s="136">
        <f t="shared" si="134"/>
        <v>49789.36</v>
      </c>
      <c r="M389" s="89">
        <f>523.32+16.5+1531.96+518.22+4695.42+1394.21+267.8+888.99+5397.19+1459.59+11.73+12.1+21+771.58+728.42+22+34+1401.37+598.18+67.48+75.5+2286.71+11.73+44.67+249.8</f>
        <v>23029.469999999994</v>
      </c>
      <c r="N389" s="73"/>
      <c r="O389" s="74">
        <f t="shared" si="135"/>
        <v>72818.82999999999</v>
      </c>
      <c r="P389" s="189">
        <f>9828.87+4563.23+56.08+207.71+48.71+13628.12+7991.17+26.14+8.5+17.21+20.54-2.85-0.36</f>
        <v>36393.07</v>
      </c>
      <c r="Q389" s="171">
        <f t="shared" si="136"/>
        <v>109211.9</v>
      </c>
      <c r="R389" s="173">
        <v>104181.51</v>
      </c>
      <c r="S389" s="168">
        <f t="shared" si="119"/>
        <v>95.39391769578224</v>
      </c>
    </row>
    <row r="390" spans="1:19" ht="12.75">
      <c r="A390" s="17" t="s">
        <v>241</v>
      </c>
      <c r="B390" s="55"/>
      <c r="C390" s="75">
        <v>8000</v>
      </c>
      <c r="D390" s="88">
        <f>21105.65+383.09-233.51</f>
        <v>21255.230000000003</v>
      </c>
      <c r="E390" s="73"/>
      <c r="F390" s="74">
        <f t="shared" si="132"/>
        <v>29255.230000000003</v>
      </c>
      <c r="G390" s="75">
        <f>-149.58</f>
        <v>-149.58</v>
      </c>
      <c r="H390" s="73"/>
      <c r="I390" s="74">
        <f t="shared" si="133"/>
        <v>29105.65</v>
      </c>
      <c r="J390" s="75">
        <f>19246.34-1200</f>
        <v>18046.34</v>
      </c>
      <c r="K390" s="73"/>
      <c r="L390" s="136">
        <f t="shared" si="134"/>
        <v>47151.990000000005</v>
      </c>
      <c r="M390" s="89">
        <f>6267.85+2000-72.6</f>
        <v>8195.25</v>
      </c>
      <c r="N390" s="73"/>
      <c r="O390" s="74">
        <f t="shared" si="135"/>
        <v>55347.240000000005</v>
      </c>
      <c r="P390" s="189">
        <f>19822.95+24244.71</f>
        <v>44067.66</v>
      </c>
      <c r="Q390" s="171">
        <f t="shared" si="136"/>
        <v>99414.90000000001</v>
      </c>
      <c r="R390" s="173">
        <v>86638.33</v>
      </c>
      <c r="S390" s="168">
        <f t="shared" si="119"/>
        <v>87.14823431900047</v>
      </c>
    </row>
    <row r="391" spans="1:19" ht="12.75">
      <c r="A391" s="17" t="s">
        <v>267</v>
      </c>
      <c r="B391" s="55"/>
      <c r="C391" s="75"/>
      <c r="D391" s="88">
        <f>2562.34+734.96+2845.4+28.2+2030.65+87.2+1823.28</f>
        <v>10112.030000000002</v>
      </c>
      <c r="E391" s="73"/>
      <c r="F391" s="74">
        <f t="shared" si="132"/>
        <v>10112.030000000002</v>
      </c>
      <c r="G391" s="75">
        <f>1697.02+1054.31+1907.15+97.16+9.18</f>
        <v>4764.82</v>
      </c>
      <c r="H391" s="73"/>
      <c r="I391" s="74">
        <f t="shared" si="133"/>
        <v>14876.850000000002</v>
      </c>
      <c r="J391" s="75">
        <f>14675.45+1951.96+3164.83+551.27+201.05+1558.86+10036.83+960.27+1300</f>
        <v>34400.52</v>
      </c>
      <c r="K391" s="73"/>
      <c r="L391" s="136">
        <f t="shared" si="134"/>
        <v>49277.369999999995</v>
      </c>
      <c r="M391" s="89">
        <f>1406.42+2251.38+702.4+5479.16+29027.17+142.79+21.18+540.52+329.17-540.93+942.18</f>
        <v>40301.439999999995</v>
      </c>
      <c r="N391" s="73"/>
      <c r="O391" s="74">
        <f t="shared" si="135"/>
        <v>89578.81</v>
      </c>
      <c r="P391" s="189">
        <f>288.06+2855.51+3725.32+12474.97+3801.52+4015.98+17.6+310.42</f>
        <v>27489.379999999997</v>
      </c>
      <c r="Q391" s="171">
        <f t="shared" si="136"/>
        <v>117068.19</v>
      </c>
      <c r="R391" s="173">
        <v>112881.41</v>
      </c>
      <c r="S391" s="168">
        <f t="shared" si="119"/>
        <v>96.42363993156468</v>
      </c>
    </row>
    <row r="392" spans="1:19" ht="12.75">
      <c r="A392" s="17" t="s">
        <v>235</v>
      </c>
      <c r="B392" s="55"/>
      <c r="C392" s="75">
        <v>3000</v>
      </c>
      <c r="D392" s="73">
        <f>8000+2838.49+997.51+24.62</f>
        <v>11860.62</v>
      </c>
      <c r="E392" s="73"/>
      <c r="F392" s="74">
        <f t="shared" si="132"/>
        <v>14860.62</v>
      </c>
      <c r="G392" s="75">
        <f>232.36+1184.59-176.98+230.36+1203.03</f>
        <v>2673.3599999999997</v>
      </c>
      <c r="H392" s="73"/>
      <c r="I392" s="74">
        <f t="shared" si="133"/>
        <v>17533.98</v>
      </c>
      <c r="J392" s="75">
        <f>527.4+1089+55.66+18.15+529.91-959.18-1.77+736.99+5868.16+1618.73</f>
        <v>9483.050000000001</v>
      </c>
      <c r="K392" s="73"/>
      <c r="L392" s="136">
        <f t="shared" si="134"/>
        <v>27017.03</v>
      </c>
      <c r="M392" s="89">
        <f>809.61+552+4714.33-560.12+73.32-105</f>
        <v>5484.14</v>
      </c>
      <c r="N392" s="73"/>
      <c r="O392" s="74">
        <f t="shared" si="135"/>
        <v>32501.17</v>
      </c>
      <c r="P392" s="189">
        <f>-500.52-1741.21</f>
        <v>-2241.73</v>
      </c>
      <c r="Q392" s="171">
        <f t="shared" si="136"/>
        <v>30259.44</v>
      </c>
      <c r="R392" s="173">
        <v>24647.71</v>
      </c>
      <c r="S392" s="168">
        <f t="shared" si="119"/>
        <v>81.45461383290636</v>
      </c>
    </row>
    <row r="393" spans="1:21" ht="12.75">
      <c r="A393" s="17" t="s">
        <v>302</v>
      </c>
      <c r="B393" s="55"/>
      <c r="C393" s="75"/>
      <c r="D393" s="73">
        <f>41611.89</f>
        <v>41611.89</v>
      </c>
      <c r="E393" s="73"/>
      <c r="F393" s="74">
        <f t="shared" si="132"/>
        <v>41611.89</v>
      </c>
      <c r="G393" s="75">
        <f>9170.41+4072.89+100000</f>
        <v>113243.3</v>
      </c>
      <c r="H393" s="73"/>
      <c r="I393" s="74">
        <f t="shared" si="133"/>
        <v>154855.19</v>
      </c>
      <c r="J393" s="75">
        <f>15301.35-61988.88</f>
        <v>-46687.53</v>
      </c>
      <c r="K393" s="73">
        <f>-60000</f>
        <v>-60000</v>
      </c>
      <c r="L393" s="136">
        <f t="shared" si="134"/>
        <v>48167.66</v>
      </c>
      <c r="M393" s="89">
        <f>63861.41+6936.57+9197+7656.88+4457.78+27852.21-60907.96+16847.54</f>
        <v>75901.43000000001</v>
      </c>
      <c r="N393" s="73"/>
      <c r="O393" s="74">
        <f t="shared" si="135"/>
        <v>124069.09000000001</v>
      </c>
      <c r="P393" s="189">
        <f>255.54+1275.32+5250.98+6749.07</f>
        <v>13530.91</v>
      </c>
      <c r="Q393" s="171">
        <f t="shared" si="136"/>
        <v>137600</v>
      </c>
      <c r="R393" s="173">
        <v>0</v>
      </c>
      <c r="S393" s="168">
        <f t="shared" si="119"/>
        <v>0</v>
      </c>
      <c r="T393" s="129"/>
      <c r="U393" s="129"/>
    </row>
    <row r="394" spans="1:21" ht="12.75">
      <c r="A394" s="24" t="s">
        <v>242</v>
      </c>
      <c r="B394" s="58"/>
      <c r="C394" s="83">
        <v>43770</v>
      </c>
      <c r="D394" s="84">
        <f>123350.24+79687.68-10805.5-5900-377.4-66.6-2210.34-390.06-6310.62-1113.64-2845.4-10.89-1.21-6.89-1.22-28.2-375.06-1542.62-272.23-377.51-41.95-2044.9-1218.39-812.26+42.77+1205.68-22.16-2.46+2220+20000+2044.9-1097.28-726</f>
        <v>189950.4799999999</v>
      </c>
      <c r="E394" s="84"/>
      <c r="F394" s="121">
        <f t="shared" si="132"/>
        <v>233720.4799999999</v>
      </c>
      <c r="G394" s="83">
        <f>1820.93+5191.8+83.37+112.09+107.89+93.6+12044.76+78.51-1000-3300-209.12-23.24-1697.02-623.08-69.23-662.42-565.22-889.92-98.88-497.8-55.31-2927.62-325.29-109.51-1066.13-118.46+768.93+1200-7.25-1008.44-112.05-748.76-14.16-1.57-1054.31-311.65-34.63-1435.57-159.51-400+811.61+47.74+136.28-5.63-0.99-5.63-1-2166.18-382.27-97.16+9344.49+3535+2000-9.18-8644.95-1525.58-206.44-22.94-0.98-1203.03</f>
        <v>3578.890000000002</v>
      </c>
      <c r="H394" s="84">
        <f>1000+23500.84</f>
        <v>24500.84</v>
      </c>
      <c r="I394" s="121">
        <f t="shared" si="133"/>
        <v>261800.2099999999</v>
      </c>
      <c r="J394" s="83">
        <f>72+116.78+4212.81+1394.65+6889.77+96.53+2261.77+62.58+87.89+106.26+2751.33+1644.68+14675.45+7.59+31.86+550.83+859.99-2723.44-480.6-2078.49-230.94-119.11-13.24-946.22-14675.45-23.42-2.6-501.38-1006.86-111.87-500-1951.96-3024.72-140.11-227.03-25.22-2739.1-684.78-412.35-45.81-506.43-1680.26-644.53-1460.91-257.81-364.56-40.51-683.93-66.64-7.41-450-22.06-401.3-44.59-56.72-668.74-74.31-500-551.27-839.83-427.9-47.54-332.91-16.34-1.81-1276.64-225.29-2668.07-296.45-2136.82-237.42-771.38-136.12-5.63-0.99-832.86-92.54-1250.37-138.93-2444.68-1558.86-210.44-23.38-296.09-27-634.26-70.48-43.34-4.82-10036.83-26.9+5900+4235+163.23-576.16-384.11-9291.39-1639.65+3161.19+2394.49+959.18+1000+2303.22+565.22-616.9-68.54-51.55-5281.34-586.82-11202.72</f>
        <v>-41454.48</v>
      </c>
      <c r="K394" s="84">
        <f>-3800+60000</f>
        <v>56200</v>
      </c>
      <c r="L394" s="150">
        <f t="shared" si="134"/>
        <v>276545.72999999986</v>
      </c>
      <c r="M394" s="160">
        <f>212.64+14.34+13281.8+775.37+502.06+226.74+104.03+5.48+3011.04+50.03+105.67-470.99-52.33-14.85-1.65-678.81-829.65-23.5-466.4-51.82-4225.88-469.54-912.8-101.42-379.99-10479.07-1849.25-10182.15-1040.75-365.67-267.8-800.09-88.9-8839.15-2982.65-526.35-7720.4-4857.47-539.72-1222.13-135.79-101.67-7.13-4.6-10.89-1.21-21-680.59-129.02-1350.83-900.55-503.17-199.23-5479.16-694.42-77.16-73.81-654.61-552-19213.52-29027.17-4974.01-1293.84-13491.41-136.05-521.59-22-34-105.66-37.13-465.61-935.76-2501.69-2212.64-50.27-547.91-58.55-8.93-65.77-9.73-1094.35-1192.36+2307.27+1630.87+2939.05+1972.25+1681.71+2970.82-5.82+790.47+4974.57+25417.21+101.94+145.08+452.2+149.75+8000+656.31+649.42-19176.21-21.18-469.19-52.13-19.2-136.74-91.16-101.27-10.35-1.15-61.82-11.73-102.85-18.15-103.41-146.39-412.64-504.34-25.2+183.47</f>
        <v>-98177.31000000001</v>
      </c>
      <c r="N394" s="84"/>
      <c r="O394" s="121">
        <f t="shared" si="135"/>
        <v>178368.41999999987</v>
      </c>
      <c r="P394" s="197">
        <f>946.47+55.68+1681.44+84.55+42.44+94.43+82+8124.85+477.93+7327.67+100.66+80.59+91.64+103.22+1953.61+77.57+2699.51+1943.2+14.73+1717.11+40.18+14.84+683.14+201.9-8340.59-1488.28-4104.73-458.5-10363.78-3094.28-6364.89-60.5-9527.2-241.97-46.09-1659.58-1195.93-1665.05-2060.27-14343.89-1064.68-14121.07-8109.37-6661.23-56.08-93.47-114.24-43.84-4.87-163.6-20803.18+23000-1091.42-1699.34-2102.18-3597.1-418.88-8589.21-5038.91-22.45-2577.06-5414.11-6336.09-19691.53-4553.18-17.6-23.53-2.61-8.5-17.21-20.54-279.38-31.04+363.69+64.18+677.42+3156.44+2.85+4717.14+404.52+2175.54+10756.04+3228.22+2227.29+128.7+4957.67+1006.19+2102.96+0.36+129.86+61.8+22074.33+2731.14+6464.96+1741.21</f>
        <v>-56971.16</v>
      </c>
      <c r="Q394" s="207">
        <f>O394+P394</f>
        <v>121397.25999999986</v>
      </c>
      <c r="R394" s="218">
        <v>0</v>
      </c>
      <c r="S394" s="215">
        <f t="shared" si="119"/>
        <v>0</v>
      </c>
      <c r="T394" s="129"/>
      <c r="U394" s="129"/>
    </row>
    <row r="395" spans="1:19" ht="12.75">
      <c r="A395" s="10" t="s">
        <v>123</v>
      </c>
      <c r="B395" s="59"/>
      <c r="C395" s="70">
        <f aca="true" t="shared" si="138" ref="C395:O395">C396+C420</f>
        <v>163493.2</v>
      </c>
      <c r="D395" s="71">
        <f t="shared" si="138"/>
        <v>456491.99</v>
      </c>
      <c r="E395" s="71">
        <f t="shared" si="138"/>
        <v>0</v>
      </c>
      <c r="F395" s="72">
        <f t="shared" si="138"/>
        <v>619985.19</v>
      </c>
      <c r="G395" s="70">
        <f t="shared" si="138"/>
        <v>55999.93</v>
      </c>
      <c r="H395" s="71">
        <f t="shared" si="138"/>
        <v>0</v>
      </c>
      <c r="I395" s="72">
        <f t="shared" si="138"/>
        <v>675985.12</v>
      </c>
      <c r="J395" s="70">
        <f t="shared" si="138"/>
        <v>49133.56</v>
      </c>
      <c r="K395" s="71">
        <f t="shared" si="138"/>
        <v>-1131</v>
      </c>
      <c r="L395" s="138">
        <f t="shared" si="138"/>
        <v>723987.68</v>
      </c>
      <c r="M395" s="70">
        <f>M396+M420</f>
        <v>9744.27</v>
      </c>
      <c r="N395" s="71">
        <f t="shared" si="138"/>
        <v>0</v>
      </c>
      <c r="O395" s="72">
        <f t="shared" si="138"/>
        <v>733731.95</v>
      </c>
      <c r="P395" s="188">
        <f>P396+P420</f>
        <v>102322.09</v>
      </c>
      <c r="Q395" s="172">
        <f>Q396+Q420</f>
        <v>836054.0399999999</v>
      </c>
      <c r="R395" s="172">
        <f>R396+R420</f>
        <v>728364.5499999999</v>
      </c>
      <c r="S395" s="165">
        <f t="shared" si="119"/>
        <v>87.11931467970659</v>
      </c>
    </row>
    <row r="396" spans="1:19" ht="12.75">
      <c r="A396" s="19" t="s">
        <v>64</v>
      </c>
      <c r="B396" s="59"/>
      <c r="C396" s="80">
        <f aca="true" t="shared" si="139" ref="C396:O396">SUM(C398:C419)</f>
        <v>163493.2</v>
      </c>
      <c r="D396" s="81">
        <f t="shared" si="139"/>
        <v>456491.99</v>
      </c>
      <c r="E396" s="81">
        <f t="shared" si="139"/>
        <v>0</v>
      </c>
      <c r="F396" s="82">
        <f t="shared" si="139"/>
        <v>619985.19</v>
      </c>
      <c r="G396" s="80">
        <f t="shared" si="139"/>
        <v>55999.93</v>
      </c>
      <c r="H396" s="81">
        <f t="shared" si="139"/>
        <v>0</v>
      </c>
      <c r="I396" s="82">
        <f t="shared" si="139"/>
        <v>675985.12</v>
      </c>
      <c r="J396" s="80">
        <f t="shared" si="139"/>
        <v>49133.56</v>
      </c>
      <c r="K396" s="81">
        <f t="shared" si="139"/>
        <v>-1131</v>
      </c>
      <c r="L396" s="140">
        <f t="shared" si="139"/>
        <v>723987.68</v>
      </c>
      <c r="M396" s="80">
        <f t="shared" si="139"/>
        <v>9744.27</v>
      </c>
      <c r="N396" s="81">
        <f t="shared" si="139"/>
        <v>0</v>
      </c>
      <c r="O396" s="82">
        <f t="shared" si="139"/>
        <v>733731.95</v>
      </c>
      <c r="P396" s="193">
        <f>SUM(P398:P419)</f>
        <v>102322.09</v>
      </c>
      <c r="Q396" s="176">
        <f>SUM(Q398:Q419)</f>
        <v>836054.0399999999</v>
      </c>
      <c r="R396" s="179">
        <f>SUM(R398:R419)</f>
        <v>728364.5499999999</v>
      </c>
      <c r="S396" s="214">
        <f aca="true" t="shared" si="140" ref="S396:S459">R396/Q396*100</f>
        <v>87.11931467970659</v>
      </c>
    </row>
    <row r="397" spans="1:19" ht="12.75">
      <c r="A397" s="15" t="s">
        <v>35</v>
      </c>
      <c r="B397" s="55"/>
      <c r="C397" s="75"/>
      <c r="D397" s="73"/>
      <c r="E397" s="73"/>
      <c r="F397" s="74"/>
      <c r="G397" s="75"/>
      <c r="H397" s="73"/>
      <c r="I397" s="74"/>
      <c r="J397" s="75"/>
      <c r="K397" s="73"/>
      <c r="L397" s="136"/>
      <c r="M397" s="75"/>
      <c r="N397" s="73"/>
      <c r="O397" s="74"/>
      <c r="P397" s="187"/>
      <c r="Q397" s="171"/>
      <c r="R397" s="171"/>
      <c r="S397" s="168"/>
    </row>
    <row r="398" spans="1:19" ht="12.75">
      <c r="A398" s="26" t="s">
        <v>124</v>
      </c>
      <c r="B398" s="61"/>
      <c r="C398" s="75">
        <v>129589.6</v>
      </c>
      <c r="D398" s="73"/>
      <c r="E398" s="73"/>
      <c r="F398" s="74">
        <f aca="true" t="shared" si="141" ref="F398:F419">C398+D398+E398</f>
        <v>129589.6</v>
      </c>
      <c r="G398" s="75"/>
      <c r="H398" s="73"/>
      <c r="I398" s="74">
        <f>F398+G398+H398</f>
        <v>129589.6</v>
      </c>
      <c r="J398" s="75">
        <f>50</f>
        <v>50</v>
      </c>
      <c r="K398" s="73"/>
      <c r="L398" s="136">
        <f>I398+J398+K398</f>
        <v>129639.6</v>
      </c>
      <c r="M398" s="75">
        <f>8300</f>
        <v>8300</v>
      </c>
      <c r="N398" s="73"/>
      <c r="O398" s="74">
        <f>L398+M398+N398</f>
        <v>137939.6</v>
      </c>
      <c r="P398" s="187"/>
      <c r="Q398" s="171">
        <f>O398+P398</f>
        <v>137939.6</v>
      </c>
      <c r="R398" s="171">
        <v>137939.6</v>
      </c>
      <c r="S398" s="168">
        <f t="shared" si="140"/>
        <v>100</v>
      </c>
    </row>
    <row r="399" spans="1:19" ht="12.75" hidden="1">
      <c r="A399" s="13" t="s">
        <v>191</v>
      </c>
      <c r="B399" s="55"/>
      <c r="C399" s="75"/>
      <c r="D399" s="73"/>
      <c r="E399" s="73"/>
      <c r="F399" s="74">
        <f t="shared" si="141"/>
        <v>0</v>
      </c>
      <c r="G399" s="75"/>
      <c r="H399" s="73"/>
      <c r="I399" s="74">
        <f aca="true" t="shared" si="142" ref="I399:I419">F399+G399+H399</f>
        <v>0</v>
      </c>
      <c r="J399" s="75"/>
      <c r="K399" s="73"/>
      <c r="L399" s="136">
        <f aca="true" t="shared" si="143" ref="L399:L416">I399+J399+K399</f>
        <v>0</v>
      </c>
      <c r="M399" s="75"/>
      <c r="N399" s="73"/>
      <c r="O399" s="74">
        <f aca="true" t="shared" si="144" ref="O399:O419">L399+M399+N399</f>
        <v>0</v>
      </c>
      <c r="P399" s="187"/>
      <c r="Q399" s="171">
        <f aca="true" t="shared" si="145" ref="Q399:Q416">O399+P399</f>
        <v>0</v>
      </c>
      <c r="R399" s="171"/>
      <c r="S399" s="168" t="e">
        <f t="shared" si="140"/>
        <v>#DIV/0!</v>
      </c>
    </row>
    <row r="400" spans="1:19" ht="12.75">
      <c r="A400" s="13" t="s">
        <v>220</v>
      </c>
      <c r="B400" s="55"/>
      <c r="C400" s="75">
        <v>26000</v>
      </c>
      <c r="D400" s="73"/>
      <c r="E400" s="73"/>
      <c r="F400" s="74">
        <f t="shared" si="141"/>
        <v>26000</v>
      </c>
      <c r="G400" s="75"/>
      <c r="H400" s="73"/>
      <c r="I400" s="74">
        <f t="shared" si="142"/>
        <v>26000</v>
      </c>
      <c r="J400" s="75"/>
      <c r="K400" s="73">
        <f>180</f>
        <v>180</v>
      </c>
      <c r="L400" s="136">
        <f t="shared" si="143"/>
        <v>26180</v>
      </c>
      <c r="M400" s="75"/>
      <c r="N400" s="73"/>
      <c r="O400" s="74">
        <f t="shared" si="144"/>
        <v>26180</v>
      </c>
      <c r="P400" s="187"/>
      <c r="Q400" s="171">
        <f t="shared" si="145"/>
        <v>26180</v>
      </c>
      <c r="R400" s="171">
        <v>26180</v>
      </c>
      <c r="S400" s="168">
        <f t="shared" si="140"/>
        <v>100</v>
      </c>
    </row>
    <row r="401" spans="1:19" ht="12.75">
      <c r="A401" s="13" t="s">
        <v>67</v>
      </c>
      <c r="B401" s="55"/>
      <c r="C401" s="75">
        <v>7903.6</v>
      </c>
      <c r="D401" s="73">
        <v>180</v>
      </c>
      <c r="E401" s="73"/>
      <c r="F401" s="74">
        <f t="shared" si="141"/>
        <v>8083.6</v>
      </c>
      <c r="G401" s="75"/>
      <c r="H401" s="73"/>
      <c r="I401" s="74">
        <f t="shared" si="142"/>
        <v>8083.6</v>
      </c>
      <c r="J401" s="75"/>
      <c r="K401" s="73">
        <f>-180</f>
        <v>-180</v>
      </c>
      <c r="L401" s="136">
        <f t="shared" si="143"/>
        <v>7903.6</v>
      </c>
      <c r="M401" s="75"/>
      <c r="N401" s="73"/>
      <c r="O401" s="74">
        <f t="shared" si="144"/>
        <v>7903.6</v>
      </c>
      <c r="P401" s="187"/>
      <c r="Q401" s="171">
        <f t="shared" si="145"/>
        <v>7903.6</v>
      </c>
      <c r="R401" s="171">
        <v>6007.64</v>
      </c>
      <c r="S401" s="168">
        <f t="shared" si="140"/>
        <v>76.0114378258009</v>
      </c>
    </row>
    <row r="402" spans="1:19" ht="12.75" hidden="1">
      <c r="A402" s="13" t="s">
        <v>83</v>
      </c>
      <c r="B402" s="55"/>
      <c r="C402" s="75"/>
      <c r="D402" s="73"/>
      <c r="E402" s="73"/>
      <c r="F402" s="74">
        <f t="shared" si="141"/>
        <v>0</v>
      </c>
      <c r="G402" s="75"/>
      <c r="H402" s="73"/>
      <c r="I402" s="74">
        <f t="shared" si="142"/>
        <v>0</v>
      </c>
      <c r="J402" s="75"/>
      <c r="K402" s="73"/>
      <c r="L402" s="136">
        <f t="shared" si="143"/>
        <v>0</v>
      </c>
      <c r="M402" s="75"/>
      <c r="N402" s="73"/>
      <c r="O402" s="74">
        <f t="shared" si="144"/>
        <v>0</v>
      </c>
      <c r="P402" s="187"/>
      <c r="Q402" s="171">
        <f t="shared" si="145"/>
        <v>0</v>
      </c>
      <c r="R402" s="171"/>
      <c r="S402" s="168" t="e">
        <f t="shared" si="140"/>
        <v>#DIV/0!</v>
      </c>
    </row>
    <row r="403" spans="1:19" ht="12.75">
      <c r="A403" s="13" t="s">
        <v>309</v>
      </c>
      <c r="B403" s="55"/>
      <c r="C403" s="75"/>
      <c r="D403" s="73">
        <f>1317.97+820.88+322.05</f>
        <v>2460.9</v>
      </c>
      <c r="E403" s="73"/>
      <c r="F403" s="74">
        <f t="shared" si="141"/>
        <v>2460.9</v>
      </c>
      <c r="G403" s="75"/>
      <c r="H403" s="73"/>
      <c r="I403" s="74">
        <f t="shared" si="142"/>
        <v>2460.9</v>
      </c>
      <c r="J403" s="75">
        <f>821.94+820.88+1649.3</f>
        <v>3292.12</v>
      </c>
      <c r="K403" s="73"/>
      <c r="L403" s="136">
        <f t="shared" si="143"/>
        <v>5753.02</v>
      </c>
      <c r="M403" s="75">
        <f>-85.32-82.77</f>
        <v>-168.08999999999997</v>
      </c>
      <c r="N403" s="73"/>
      <c r="O403" s="74">
        <f t="shared" si="144"/>
        <v>5584.93</v>
      </c>
      <c r="P403" s="187">
        <f>1012.37</f>
        <v>1012.37</v>
      </c>
      <c r="Q403" s="171">
        <f t="shared" si="145"/>
        <v>6597.3</v>
      </c>
      <c r="R403" s="171">
        <v>6597.3</v>
      </c>
      <c r="S403" s="168">
        <f t="shared" si="140"/>
        <v>100</v>
      </c>
    </row>
    <row r="404" spans="1:19" ht="12.75">
      <c r="A404" s="22" t="s">
        <v>269</v>
      </c>
      <c r="B404" s="55">
        <v>3400</v>
      </c>
      <c r="C404" s="75"/>
      <c r="D404" s="73">
        <f>488.8</f>
        <v>488.8</v>
      </c>
      <c r="E404" s="73"/>
      <c r="F404" s="74">
        <f t="shared" si="141"/>
        <v>488.8</v>
      </c>
      <c r="G404" s="75"/>
      <c r="H404" s="73"/>
      <c r="I404" s="74">
        <f t="shared" si="142"/>
        <v>488.8</v>
      </c>
      <c r="J404" s="75">
        <f>385.01</f>
        <v>385.01</v>
      </c>
      <c r="K404" s="73"/>
      <c r="L404" s="136">
        <f t="shared" si="143"/>
        <v>873.81</v>
      </c>
      <c r="M404" s="75"/>
      <c r="N404" s="73"/>
      <c r="O404" s="74">
        <f t="shared" si="144"/>
        <v>873.81</v>
      </c>
      <c r="P404" s="187"/>
      <c r="Q404" s="171">
        <f t="shared" si="145"/>
        <v>873.81</v>
      </c>
      <c r="R404" s="171">
        <v>873.81</v>
      </c>
      <c r="S404" s="168">
        <f t="shared" si="140"/>
        <v>100</v>
      </c>
    </row>
    <row r="405" spans="1:19" ht="12.75" hidden="1">
      <c r="A405" s="22" t="s">
        <v>269</v>
      </c>
      <c r="B405" s="55">
        <v>3400</v>
      </c>
      <c r="C405" s="75"/>
      <c r="D405" s="73"/>
      <c r="E405" s="73"/>
      <c r="F405" s="74">
        <f t="shared" si="141"/>
        <v>0</v>
      </c>
      <c r="G405" s="75"/>
      <c r="H405" s="73"/>
      <c r="I405" s="74">
        <f t="shared" si="142"/>
        <v>0</v>
      </c>
      <c r="J405" s="75"/>
      <c r="K405" s="73"/>
      <c r="L405" s="136">
        <f t="shared" si="143"/>
        <v>0</v>
      </c>
      <c r="M405" s="75"/>
      <c r="N405" s="73"/>
      <c r="O405" s="74">
        <f t="shared" si="144"/>
        <v>0</v>
      </c>
      <c r="P405" s="187"/>
      <c r="Q405" s="171">
        <f t="shared" si="145"/>
        <v>0</v>
      </c>
      <c r="R405" s="171"/>
      <c r="S405" s="168" t="e">
        <f t="shared" si="140"/>
        <v>#DIV/0!</v>
      </c>
    </row>
    <row r="406" spans="1:19" ht="12.75" hidden="1">
      <c r="A406" s="22" t="s">
        <v>312</v>
      </c>
      <c r="B406" s="55">
        <v>4700</v>
      </c>
      <c r="C406" s="75"/>
      <c r="D406" s="73">
        <f>1355.75</f>
        <v>1355.75</v>
      </c>
      <c r="E406" s="73"/>
      <c r="F406" s="74">
        <f t="shared" si="141"/>
        <v>1355.75</v>
      </c>
      <c r="G406" s="75">
        <f>-1200</f>
        <v>-1200</v>
      </c>
      <c r="H406" s="73"/>
      <c r="I406" s="74">
        <f t="shared" si="142"/>
        <v>155.75</v>
      </c>
      <c r="J406" s="75">
        <f>759.73</f>
        <v>759.73</v>
      </c>
      <c r="K406" s="73"/>
      <c r="L406" s="136">
        <f t="shared" si="143"/>
        <v>915.48</v>
      </c>
      <c r="M406" s="75"/>
      <c r="N406" s="73"/>
      <c r="O406" s="74">
        <f t="shared" si="144"/>
        <v>915.48</v>
      </c>
      <c r="P406" s="187"/>
      <c r="Q406" s="171"/>
      <c r="R406" s="171"/>
      <c r="S406" s="169" t="s">
        <v>384</v>
      </c>
    </row>
    <row r="407" spans="1:19" ht="12.75">
      <c r="A407" s="22" t="s">
        <v>262</v>
      </c>
      <c r="B407" s="55">
        <v>4700</v>
      </c>
      <c r="C407" s="75"/>
      <c r="D407" s="73">
        <f>2011.27</f>
        <v>2011.27</v>
      </c>
      <c r="E407" s="73"/>
      <c r="F407" s="74">
        <f t="shared" si="141"/>
        <v>2011.27</v>
      </c>
      <c r="G407" s="75">
        <f>910.71</f>
        <v>910.71</v>
      </c>
      <c r="H407" s="73"/>
      <c r="I407" s="74">
        <f t="shared" si="142"/>
        <v>2921.98</v>
      </c>
      <c r="J407" s="75"/>
      <c r="K407" s="73"/>
      <c r="L407" s="136">
        <f t="shared" si="143"/>
        <v>2921.98</v>
      </c>
      <c r="M407" s="75"/>
      <c r="N407" s="73"/>
      <c r="O407" s="74">
        <f t="shared" si="144"/>
        <v>2921.98</v>
      </c>
      <c r="P407" s="187"/>
      <c r="Q407" s="171">
        <f>O407+P407+915.48</f>
        <v>3837.46</v>
      </c>
      <c r="R407" s="171">
        <v>3837.46</v>
      </c>
      <c r="S407" s="168">
        <f t="shared" si="140"/>
        <v>100</v>
      </c>
    </row>
    <row r="408" spans="1:19" ht="12.75">
      <c r="A408" s="13" t="s">
        <v>391</v>
      </c>
      <c r="B408" s="55">
        <v>4602</v>
      </c>
      <c r="C408" s="75"/>
      <c r="D408" s="73">
        <f>3451.34</f>
        <v>3451.34</v>
      </c>
      <c r="E408" s="73"/>
      <c r="F408" s="74">
        <f t="shared" si="141"/>
        <v>3451.34</v>
      </c>
      <c r="G408" s="75"/>
      <c r="H408" s="73"/>
      <c r="I408" s="74">
        <f t="shared" si="142"/>
        <v>3451.34</v>
      </c>
      <c r="J408" s="75">
        <f>1122.5</f>
        <v>1122.5</v>
      </c>
      <c r="K408" s="73"/>
      <c r="L408" s="136">
        <f t="shared" si="143"/>
        <v>4573.84</v>
      </c>
      <c r="M408" s="75"/>
      <c r="N408" s="73"/>
      <c r="O408" s="74">
        <f t="shared" si="144"/>
        <v>4573.84</v>
      </c>
      <c r="P408" s="187"/>
      <c r="Q408" s="171">
        <f t="shared" si="145"/>
        <v>4573.84</v>
      </c>
      <c r="R408" s="171">
        <v>4573.84</v>
      </c>
      <c r="S408" s="168">
        <f t="shared" si="140"/>
        <v>100</v>
      </c>
    </row>
    <row r="409" spans="1:19" ht="12.75" hidden="1">
      <c r="A409" s="13" t="s">
        <v>313</v>
      </c>
      <c r="B409" s="55">
        <v>3100</v>
      </c>
      <c r="C409" s="75"/>
      <c r="D409" s="73">
        <v>28103.15</v>
      </c>
      <c r="E409" s="73"/>
      <c r="F409" s="74">
        <f t="shared" si="141"/>
        <v>28103.15</v>
      </c>
      <c r="G409" s="75"/>
      <c r="H409" s="73"/>
      <c r="I409" s="74">
        <f t="shared" si="142"/>
        <v>28103.15</v>
      </c>
      <c r="J409" s="75"/>
      <c r="K409" s="73"/>
      <c r="L409" s="136">
        <f t="shared" si="143"/>
        <v>28103.15</v>
      </c>
      <c r="M409" s="75"/>
      <c r="N409" s="73"/>
      <c r="O409" s="74">
        <f t="shared" si="144"/>
        <v>28103.15</v>
      </c>
      <c r="P409" s="187"/>
      <c r="Q409" s="171"/>
      <c r="R409" s="171"/>
      <c r="S409" s="169" t="s">
        <v>384</v>
      </c>
    </row>
    <row r="410" spans="1:19" ht="12.75">
      <c r="A410" s="13" t="s">
        <v>328</v>
      </c>
      <c r="B410" s="55">
        <v>3100</v>
      </c>
      <c r="C410" s="75"/>
      <c r="D410" s="73"/>
      <c r="E410" s="73"/>
      <c r="F410" s="74">
        <f t="shared" si="141"/>
        <v>0</v>
      </c>
      <c r="G410" s="75">
        <v>51200</v>
      </c>
      <c r="H410" s="73"/>
      <c r="I410" s="74">
        <f t="shared" si="142"/>
        <v>51200</v>
      </c>
      <c r="J410" s="75"/>
      <c r="K410" s="73"/>
      <c r="L410" s="136">
        <f t="shared" si="143"/>
        <v>51200</v>
      </c>
      <c r="M410" s="158">
        <f>12.36</f>
        <v>12.36</v>
      </c>
      <c r="N410" s="73"/>
      <c r="O410" s="74">
        <f t="shared" si="144"/>
        <v>51212.36</v>
      </c>
      <c r="P410" s="187"/>
      <c r="Q410" s="171">
        <f>O410+P410+28103.15</f>
        <v>79315.51000000001</v>
      </c>
      <c r="R410" s="171">
        <v>75287.81</v>
      </c>
      <c r="S410" s="168">
        <f t="shared" si="140"/>
        <v>94.92192636723887</v>
      </c>
    </row>
    <row r="411" spans="1:19" ht="12.75">
      <c r="A411" s="13" t="s">
        <v>395</v>
      </c>
      <c r="B411" s="55">
        <v>5000</v>
      </c>
      <c r="C411" s="75"/>
      <c r="D411" s="73"/>
      <c r="E411" s="73"/>
      <c r="F411" s="74"/>
      <c r="G411" s="75"/>
      <c r="H411" s="73"/>
      <c r="I411" s="74"/>
      <c r="J411" s="75"/>
      <c r="K411" s="73"/>
      <c r="L411" s="136"/>
      <c r="M411" s="158"/>
      <c r="N411" s="73"/>
      <c r="O411" s="74">
        <f t="shared" si="144"/>
        <v>0</v>
      </c>
      <c r="P411" s="187">
        <v>101146.12</v>
      </c>
      <c r="Q411" s="171">
        <f t="shared" si="145"/>
        <v>101146.12</v>
      </c>
      <c r="R411" s="171">
        <v>76.61</v>
      </c>
      <c r="S411" s="168">
        <f t="shared" si="140"/>
        <v>0.07574190685712907</v>
      </c>
    </row>
    <row r="412" spans="1:19" ht="12.75">
      <c r="A412" s="22" t="s">
        <v>392</v>
      </c>
      <c r="B412" s="55">
        <v>5303</v>
      </c>
      <c r="C412" s="75"/>
      <c r="D412" s="73">
        <f>658.25</f>
        <v>658.25</v>
      </c>
      <c r="E412" s="73"/>
      <c r="F412" s="74">
        <f t="shared" si="141"/>
        <v>658.25</v>
      </c>
      <c r="G412" s="75"/>
      <c r="H412" s="73"/>
      <c r="I412" s="74">
        <f t="shared" si="142"/>
        <v>658.25</v>
      </c>
      <c r="J412" s="75">
        <f>680</f>
        <v>680</v>
      </c>
      <c r="K412" s="73"/>
      <c r="L412" s="136">
        <f t="shared" si="143"/>
        <v>1338.25</v>
      </c>
      <c r="M412" s="75"/>
      <c r="N412" s="73"/>
      <c r="O412" s="74">
        <f t="shared" si="144"/>
        <v>1338.25</v>
      </c>
      <c r="P412" s="187"/>
      <c r="Q412" s="171">
        <f t="shared" si="145"/>
        <v>1338.25</v>
      </c>
      <c r="R412" s="171">
        <v>1338.23</v>
      </c>
      <c r="S412" s="168">
        <f t="shared" si="140"/>
        <v>99.99850551092845</v>
      </c>
    </row>
    <row r="413" spans="1:19" ht="12.75">
      <c r="A413" s="22" t="s">
        <v>263</v>
      </c>
      <c r="B413" s="135" t="s">
        <v>344</v>
      </c>
      <c r="C413" s="75"/>
      <c r="D413" s="73">
        <f>914.53</f>
        <v>914.53</v>
      </c>
      <c r="E413" s="73"/>
      <c r="F413" s="74">
        <f t="shared" si="141"/>
        <v>914.53</v>
      </c>
      <c r="G413" s="75"/>
      <c r="H413" s="73"/>
      <c r="I413" s="74">
        <f t="shared" si="142"/>
        <v>914.53</v>
      </c>
      <c r="J413" s="75">
        <f>690.42</f>
        <v>690.42</v>
      </c>
      <c r="K413" s="73"/>
      <c r="L413" s="136">
        <f t="shared" si="143"/>
        <v>1604.9499999999998</v>
      </c>
      <c r="M413" s="75"/>
      <c r="N413" s="73"/>
      <c r="O413" s="74">
        <f t="shared" si="144"/>
        <v>1604.9499999999998</v>
      </c>
      <c r="P413" s="187"/>
      <c r="Q413" s="171">
        <f t="shared" si="145"/>
        <v>1604.9499999999998</v>
      </c>
      <c r="R413" s="171">
        <v>1594.9</v>
      </c>
      <c r="S413" s="168">
        <f t="shared" si="140"/>
        <v>99.37381226829498</v>
      </c>
    </row>
    <row r="414" spans="1:19" ht="12.75" hidden="1">
      <c r="A414" s="56" t="s">
        <v>355</v>
      </c>
      <c r="B414" s="55">
        <v>13015</v>
      </c>
      <c r="C414" s="75"/>
      <c r="D414" s="73"/>
      <c r="E414" s="73"/>
      <c r="F414" s="74">
        <f t="shared" si="141"/>
        <v>0</v>
      </c>
      <c r="G414" s="75"/>
      <c r="H414" s="73"/>
      <c r="I414" s="74">
        <f t="shared" si="142"/>
        <v>0</v>
      </c>
      <c r="J414" s="75">
        <v>1131</v>
      </c>
      <c r="K414" s="73">
        <v>-1131</v>
      </c>
      <c r="L414" s="136">
        <f t="shared" si="143"/>
        <v>0</v>
      </c>
      <c r="M414" s="75"/>
      <c r="N414" s="73"/>
      <c r="O414" s="74">
        <f t="shared" si="144"/>
        <v>0</v>
      </c>
      <c r="P414" s="187"/>
      <c r="Q414" s="171">
        <f t="shared" si="145"/>
        <v>0</v>
      </c>
      <c r="R414" s="171"/>
      <c r="S414" s="168" t="e">
        <f t="shared" si="140"/>
        <v>#DIV/0!</v>
      </c>
    </row>
    <row r="415" spans="1:19" ht="12.75">
      <c r="A415" s="22" t="s">
        <v>317</v>
      </c>
      <c r="B415" s="55">
        <v>13305</v>
      </c>
      <c r="C415" s="75"/>
      <c r="D415" s="73">
        <v>413868</v>
      </c>
      <c r="E415" s="73"/>
      <c r="F415" s="74">
        <f t="shared" si="141"/>
        <v>413868</v>
      </c>
      <c r="G415" s="75"/>
      <c r="H415" s="73"/>
      <c r="I415" s="74">
        <f t="shared" si="142"/>
        <v>413868</v>
      </c>
      <c r="J415" s="75">
        <f>42588</f>
        <v>42588</v>
      </c>
      <c r="K415" s="73"/>
      <c r="L415" s="136">
        <f t="shared" si="143"/>
        <v>456456</v>
      </c>
      <c r="M415" s="75"/>
      <c r="N415" s="73"/>
      <c r="O415" s="74">
        <f t="shared" si="144"/>
        <v>456456</v>
      </c>
      <c r="P415" s="187"/>
      <c r="Q415" s="171">
        <f t="shared" si="145"/>
        <v>456456</v>
      </c>
      <c r="R415" s="171">
        <v>456456</v>
      </c>
      <c r="S415" s="168">
        <f t="shared" si="140"/>
        <v>100</v>
      </c>
    </row>
    <row r="416" spans="1:19" ht="12.75">
      <c r="A416" s="13" t="s">
        <v>125</v>
      </c>
      <c r="B416" s="55">
        <v>13307</v>
      </c>
      <c r="C416" s="75"/>
      <c r="D416" s="73">
        <v>3000</v>
      </c>
      <c r="E416" s="73"/>
      <c r="F416" s="74">
        <f t="shared" si="141"/>
        <v>3000</v>
      </c>
      <c r="G416" s="75">
        <v>3000</v>
      </c>
      <c r="H416" s="73"/>
      <c r="I416" s="74">
        <f t="shared" si="142"/>
        <v>6000</v>
      </c>
      <c r="J416" s="75"/>
      <c r="K416" s="73"/>
      <c r="L416" s="136">
        <f t="shared" si="143"/>
        <v>6000</v>
      </c>
      <c r="M416" s="75">
        <f>1600</f>
        <v>1600</v>
      </c>
      <c r="N416" s="73"/>
      <c r="O416" s="74">
        <f t="shared" si="144"/>
        <v>7600</v>
      </c>
      <c r="P416" s="187"/>
      <c r="Q416" s="171">
        <f t="shared" si="145"/>
        <v>7600</v>
      </c>
      <c r="R416" s="171">
        <v>7073.32</v>
      </c>
      <c r="S416" s="168">
        <f t="shared" si="140"/>
        <v>93.07</v>
      </c>
    </row>
    <row r="417" spans="1:19" ht="12.75">
      <c r="A417" s="13" t="s">
        <v>188</v>
      </c>
      <c r="B417" s="55">
        <v>14018</v>
      </c>
      <c r="C417" s="75"/>
      <c r="D417" s="73"/>
      <c r="E417" s="73"/>
      <c r="F417" s="74">
        <f t="shared" si="141"/>
        <v>0</v>
      </c>
      <c r="G417" s="75">
        <v>363</v>
      </c>
      <c r="H417" s="73"/>
      <c r="I417" s="74">
        <f t="shared" si="142"/>
        <v>363</v>
      </c>
      <c r="J417" s="75"/>
      <c r="K417" s="73"/>
      <c r="L417" s="136">
        <f>I417+J417+K417</f>
        <v>363</v>
      </c>
      <c r="M417" s="75"/>
      <c r="N417" s="73"/>
      <c r="O417" s="74">
        <f t="shared" si="144"/>
        <v>363</v>
      </c>
      <c r="P417" s="187"/>
      <c r="Q417" s="171">
        <f>O417+P417</f>
        <v>363</v>
      </c>
      <c r="R417" s="171">
        <v>363</v>
      </c>
      <c r="S417" s="168">
        <f t="shared" si="140"/>
        <v>100</v>
      </c>
    </row>
    <row r="418" spans="1:19" ht="12.75">
      <c r="A418" s="22" t="s">
        <v>203</v>
      </c>
      <c r="B418" s="55" t="s">
        <v>368</v>
      </c>
      <c r="C418" s="75"/>
      <c r="D418" s="73"/>
      <c r="E418" s="73"/>
      <c r="F418" s="74">
        <f t="shared" si="141"/>
        <v>0</v>
      </c>
      <c r="G418" s="75">
        <f>61+100</f>
        <v>161</v>
      </c>
      <c r="H418" s="73"/>
      <c r="I418" s="74">
        <f t="shared" si="142"/>
        <v>161</v>
      </c>
      <c r="J418" s="75"/>
      <c r="K418" s="73"/>
      <c r="L418" s="136">
        <f>I418+J418+K418</f>
        <v>161</v>
      </c>
      <c r="M418" s="75"/>
      <c r="N418" s="73"/>
      <c r="O418" s="74">
        <f t="shared" si="144"/>
        <v>161</v>
      </c>
      <c r="P418" s="187"/>
      <c r="Q418" s="171">
        <f>O418+P418</f>
        <v>161</v>
      </c>
      <c r="R418" s="171">
        <v>161</v>
      </c>
      <c r="S418" s="168">
        <f t="shared" si="140"/>
        <v>100</v>
      </c>
    </row>
    <row r="419" spans="1:19" ht="12.75">
      <c r="A419" s="16" t="s">
        <v>98</v>
      </c>
      <c r="B419" s="58"/>
      <c r="C419" s="83"/>
      <c r="D419" s="84"/>
      <c r="E419" s="84"/>
      <c r="F419" s="121">
        <f t="shared" si="141"/>
        <v>0</v>
      </c>
      <c r="G419" s="83">
        <f>1000+565.22</f>
        <v>1565.22</v>
      </c>
      <c r="H419" s="84"/>
      <c r="I419" s="121">
        <f t="shared" si="142"/>
        <v>1565.22</v>
      </c>
      <c r="J419" s="83">
        <f>-1000-565.22</f>
        <v>-1565.22</v>
      </c>
      <c r="K419" s="84"/>
      <c r="L419" s="150">
        <f>I419+J419+K419</f>
        <v>0</v>
      </c>
      <c r="M419" s="83"/>
      <c r="N419" s="84"/>
      <c r="O419" s="121">
        <f t="shared" si="144"/>
        <v>0</v>
      </c>
      <c r="P419" s="195">
        <v>163.6</v>
      </c>
      <c r="Q419" s="207">
        <f>O419+P419</f>
        <v>163.6</v>
      </c>
      <c r="R419" s="207">
        <v>4.03</v>
      </c>
      <c r="S419" s="215">
        <f t="shared" si="140"/>
        <v>2.4633251833740837</v>
      </c>
    </row>
    <row r="420" spans="1:19" ht="12.75" hidden="1">
      <c r="A420" s="19" t="s">
        <v>70</v>
      </c>
      <c r="B420" s="59"/>
      <c r="C420" s="80">
        <f aca="true" t="shared" si="146" ref="C420:I420">SUM(C422:C424)</f>
        <v>0</v>
      </c>
      <c r="D420" s="81">
        <f t="shared" si="146"/>
        <v>0</v>
      </c>
      <c r="E420" s="81">
        <f t="shared" si="146"/>
        <v>0</v>
      </c>
      <c r="F420" s="82">
        <f t="shared" si="146"/>
        <v>0</v>
      </c>
      <c r="G420" s="80">
        <f t="shared" si="146"/>
        <v>0</v>
      </c>
      <c r="H420" s="81">
        <f t="shared" si="146"/>
        <v>0</v>
      </c>
      <c r="I420" s="82">
        <f t="shared" si="146"/>
        <v>0</v>
      </c>
      <c r="J420" s="80"/>
      <c r="K420" s="81"/>
      <c r="L420" s="140">
        <f>SUM(L422:L424)</f>
        <v>0</v>
      </c>
      <c r="M420" s="80"/>
      <c r="N420" s="81"/>
      <c r="O420" s="82">
        <f>SUM(O422:O424)</f>
        <v>0</v>
      </c>
      <c r="P420" s="193"/>
      <c r="Q420" s="176">
        <f>SUM(Q422:Q424)</f>
        <v>0</v>
      </c>
      <c r="R420" s="176"/>
      <c r="S420" s="168" t="e">
        <f t="shared" si="140"/>
        <v>#DIV/0!</v>
      </c>
    </row>
    <row r="421" spans="1:19" ht="12.75" hidden="1">
      <c r="A421" s="15" t="s">
        <v>35</v>
      </c>
      <c r="B421" s="55"/>
      <c r="C421" s="75"/>
      <c r="D421" s="73"/>
      <c r="E421" s="73"/>
      <c r="F421" s="74"/>
      <c r="G421" s="75"/>
      <c r="H421" s="73"/>
      <c r="I421" s="74"/>
      <c r="J421" s="75"/>
      <c r="K421" s="73"/>
      <c r="L421" s="136"/>
      <c r="M421" s="75"/>
      <c r="N421" s="73"/>
      <c r="O421" s="74"/>
      <c r="P421" s="187"/>
      <c r="Q421" s="171"/>
      <c r="R421" s="171"/>
      <c r="S421" s="168" t="e">
        <f t="shared" si="140"/>
        <v>#DIV/0!</v>
      </c>
    </row>
    <row r="422" spans="1:19" ht="12.75" hidden="1">
      <c r="A422" s="13" t="s">
        <v>114</v>
      </c>
      <c r="B422" s="55"/>
      <c r="C422" s="75"/>
      <c r="D422" s="73"/>
      <c r="E422" s="73"/>
      <c r="F422" s="74">
        <f>C422+D422+E422</f>
        <v>0</v>
      </c>
      <c r="G422" s="75"/>
      <c r="H422" s="73"/>
      <c r="I422" s="74">
        <f>F422+G422+H422</f>
        <v>0</v>
      </c>
      <c r="J422" s="75"/>
      <c r="K422" s="73"/>
      <c r="L422" s="136">
        <f>I422+J422+K422</f>
        <v>0</v>
      </c>
      <c r="M422" s="75"/>
      <c r="N422" s="73"/>
      <c r="O422" s="74">
        <f>L422+M422+N422</f>
        <v>0</v>
      </c>
      <c r="P422" s="187"/>
      <c r="Q422" s="171">
        <f>O422+P422</f>
        <v>0</v>
      </c>
      <c r="R422" s="171"/>
      <c r="S422" s="168" t="e">
        <f t="shared" si="140"/>
        <v>#DIV/0!</v>
      </c>
    </row>
    <row r="423" spans="1:19" ht="12.75" hidden="1">
      <c r="A423" s="13" t="s">
        <v>71</v>
      </c>
      <c r="B423" s="55"/>
      <c r="C423" s="75"/>
      <c r="D423" s="73"/>
      <c r="E423" s="73"/>
      <c r="F423" s="74">
        <f>C423+D423+E423</f>
        <v>0</v>
      </c>
      <c r="G423" s="75"/>
      <c r="H423" s="73"/>
      <c r="I423" s="74">
        <f>F423+G423+H423</f>
        <v>0</v>
      </c>
      <c r="J423" s="75"/>
      <c r="K423" s="73"/>
      <c r="L423" s="136">
        <f>I423+J423+K423</f>
        <v>0</v>
      </c>
      <c r="M423" s="75"/>
      <c r="N423" s="73"/>
      <c r="O423" s="74">
        <f>L423+M423+N423</f>
        <v>0</v>
      </c>
      <c r="P423" s="187"/>
      <c r="Q423" s="171">
        <f>O423+P423</f>
        <v>0</v>
      </c>
      <c r="R423" s="171"/>
      <c r="S423" s="168" t="e">
        <f t="shared" si="140"/>
        <v>#DIV/0!</v>
      </c>
    </row>
    <row r="424" spans="1:19" ht="12.75" hidden="1">
      <c r="A424" s="16" t="s">
        <v>98</v>
      </c>
      <c r="B424" s="58"/>
      <c r="C424" s="83"/>
      <c r="D424" s="84"/>
      <c r="E424" s="84"/>
      <c r="F424" s="121">
        <f>C424+D424+E424</f>
        <v>0</v>
      </c>
      <c r="G424" s="83"/>
      <c r="H424" s="84"/>
      <c r="I424" s="121">
        <f>F424+G424+H424</f>
        <v>0</v>
      </c>
      <c r="J424" s="75"/>
      <c r="K424" s="73"/>
      <c r="L424" s="136">
        <f>I424+J424+K424</f>
        <v>0</v>
      </c>
      <c r="M424" s="75"/>
      <c r="N424" s="73"/>
      <c r="O424" s="74">
        <f>L424+M424+N424</f>
        <v>0</v>
      </c>
      <c r="P424" s="187"/>
      <c r="Q424" s="171">
        <f>O424+P424</f>
        <v>0</v>
      </c>
      <c r="R424" s="171"/>
      <c r="S424" s="168" t="e">
        <f t="shared" si="140"/>
        <v>#DIV/0!</v>
      </c>
    </row>
    <row r="425" spans="1:19" ht="12.75">
      <c r="A425" s="14" t="s">
        <v>261</v>
      </c>
      <c r="B425" s="59"/>
      <c r="C425" s="70">
        <f aca="true" t="shared" si="147" ref="C425:O425">C426+C435</f>
        <v>81453.8</v>
      </c>
      <c r="D425" s="71">
        <f t="shared" si="147"/>
        <v>33788.84</v>
      </c>
      <c r="E425" s="71">
        <f t="shared" si="147"/>
        <v>0</v>
      </c>
      <c r="F425" s="72">
        <f t="shared" si="147"/>
        <v>115242.64000000001</v>
      </c>
      <c r="G425" s="70">
        <f t="shared" si="147"/>
        <v>-673.1200000000008</v>
      </c>
      <c r="H425" s="71">
        <f t="shared" si="147"/>
        <v>0</v>
      </c>
      <c r="I425" s="72">
        <f t="shared" si="147"/>
        <v>114569.51999999999</v>
      </c>
      <c r="J425" s="70">
        <f t="shared" si="147"/>
        <v>6631.3</v>
      </c>
      <c r="K425" s="71">
        <f t="shared" si="147"/>
        <v>0</v>
      </c>
      <c r="L425" s="138">
        <f t="shared" si="147"/>
        <v>121200.82</v>
      </c>
      <c r="M425" s="70">
        <f t="shared" si="147"/>
        <v>-261.45000000000005</v>
      </c>
      <c r="N425" s="71">
        <f t="shared" si="147"/>
        <v>0</v>
      </c>
      <c r="O425" s="72">
        <f t="shared" si="147"/>
        <v>120939.37</v>
      </c>
      <c r="P425" s="188">
        <f>P426+P435</f>
        <v>0</v>
      </c>
      <c r="Q425" s="172">
        <f>Q426+Q435</f>
        <v>120939.37</v>
      </c>
      <c r="R425" s="172">
        <f>R426+R435</f>
        <v>119247.88999999998</v>
      </c>
      <c r="S425" s="165">
        <f t="shared" si="140"/>
        <v>98.60138183289692</v>
      </c>
    </row>
    <row r="426" spans="1:19" ht="12.75">
      <c r="A426" s="19" t="s">
        <v>64</v>
      </c>
      <c r="B426" s="59"/>
      <c r="C426" s="80">
        <f aca="true" t="shared" si="148" ref="C426:O426">SUM(C428:C434)</f>
        <v>64453.8</v>
      </c>
      <c r="D426" s="81">
        <f t="shared" si="148"/>
        <v>11874.85</v>
      </c>
      <c r="E426" s="81">
        <f t="shared" si="148"/>
        <v>0</v>
      </c>
      <c r="F426" s="82">
        <f t="shared" si="148"/>
        <v>76328.65000000001</v>
      </c>
      <c r="G426" s="80">
        <f t="shared" si="148"/>
        <v>7046.879999999999</v>
      </c>
      <c r="H426" s="81">
        <f t="shared" si="148"/>
        <v>0</v>
      </c>
      <c r="I426" s="82">
        <f t="shared" si="148"/>
        <v>83375.53</v>
      </c>
      <c r="J426" s="80">
        <f t="shared" si="148"/>
        <v>2281.3</v>
      </c>
      <c r="K426" s="81">
        <f t="shared" si="148"/>
        <v>0</v>
      </c>
      <c r="L426" s="140">
        <f t="shared" si="148"/>
        <v>85656.83</v>
      </c>
      <c r="M426" s="80">
        <f t="shared" si="148"/>
        <v>-430</v>
      </c>
      <c r="N426" s="81">
        <f t="shared" si="148"/>
        <v>0</v>
      </c>
      <c r="O426" s="82">
        <f t="shared" si="148"/>
        <v>85226.83</v>
      </c>
      <c r="P426" s="193">
        <f>SUM(P428:P434)</f>
        <v>0</v>
      </c>
      <c r="Q426" s="176">
        <f>SUM(Q428:Q434)</f>
        <v>85226.83</v>
      </c>
      <c r="R426" s="176">
        <f>SUM(R428:R434)</f>
        <v>83896.73</v>
      </c>
      <c r="S426" s="214">
        <f t="shared" si="140"/>
        <v>98.43934122623122</v>
      </c>
    </row>
    <row r="427" spans="1:19" ht="12.75">
      <c r="A427" s="15" t="s">
        <v>35</v>
      </c>
      <c r="B427" s="55"/>
      <c r="C427" s="75"/>
      <c r="D427" s="73"/>
      <c r="E427" s="73"/>
      <c r="F427" s="72"/>
      <c r="G427" s="75"/>
      <c r="H427" s="73"/>
      <c r="I427" s="72"/>
      <c r="J427" s="75"/>
      <c r="K427" s="73"/>
      <c r="L427" s="138"/>
      <c r="M427" s="75"/>
      <c r="N427" s="73"/>
      <c r="O427" s="72"/>
      <c r="P427" s="187"/>
      <c r="Q427" s="171"/>
      <c r="R427" s="171"/>
      <c r="S427" s="168"/>
    </row>
    <row r="428" spans="1:19" ht="12.75">
      <c r="A428" s="13" t="s">
        <v>67</v>
      </c>
      <c r="B428" s="55"/>
      <c r="C428" s="75">
        <v>16453.8</v>
      </c>
      <c r="D428" s="73">
        <f>200+2000+400</f>
        <v>2600</v>
      </c>
      <c r="E428" s="73"/>
      <c r="F428" s="74">
        <f aca="true" t="shared" si="149" ref="F428:F434">C428+D428+E428</f>
        <v>19053.8</v>
      </c>
      <c r="G428" s="75">
        <f>50.48+100+1000+120+100+1800</f>
        <v>3170.48</v>
      </c>
      <c r="H428" s="73"/>
      <c r="I428" s="74">
        <f>F428+G428+H428</f>
        <v>22224.28</v>
      </c>
      <c r="J428" s="75">
        <f>250+141.3+250+150+1000+400+250+140-1000+400</f>
        <v>1981.3000000000002</v>
      </c>
      <c r="K428" s="73"/>
      <c r="L428" s="136">
        <f>I428+J428+K428</f>
        <v>24205.579999999998</v>
      </c>
      <c r="M428" s="75">
        <f>-230</f>
        <v>-230</v>
      </c>
      <c r="N428" s="73"/>
      <c r="O428" s="74">
        <f>L428+M428+N428</f>
        <v>23975.579999999998</v>
      </c>
      <c r="P428" s="187"/>
      <c r="Q428" s="171">
        <f>O428+P428</f>
        <v>23975.579999999998</v>
      </c>
      <c r="R428" s="171">
        <v>23157.07</v>
      </c>
      <c r="S428" s="168">
        <f t="shared" si="140"/>
        <v>96.58606799084735</v>
      </c>
    </row>
    <row r="429" spans="1:19" ht="12.75">
      <c r="A429" s="17" t="s">
        <v>320</v>
      </c>
      <c r="B429" s="55"/>
      <c r="C429" s="75"/>
      <c r="D429" s="73">
        <v>1900</v>
      </c>
      <c r="E429" s="73"/>
      <c r="F429" s="74">
        <f t="shared" si="149"/>
        <v>1900</v>
      </c>
      <c r="G429" s="75"/>
      <c r="H429" s="73"/>
      <c r="I429" s="74">
        <f aca="true" t="shared" si="150" ref="I429:I434">F429+G429+H429</f>
        <v>1900</v>
      </c>
      <c r="J429" s="75"/>
      <c r="K429" s="73"/>
      <c r="L429" s="136">
        <f aca="true" t="shared" si="151" ref="L429:L434">I429+J429+K429</f>
        <v>1900</v>
      </c>
      <c r="M429" s="75">
        <f>-300</f>
        <v>-300</v>
      </c>
      <c r="N429" s="73"/>
      <c r="O429" s="74">
        <f aca="true" t="shared" si="152" ref="O429:O434">L429+M429+N429</f>
        <v>1600</v>
      </c>
      <c r="P429" s="187"/>
      <c r="Q429" s="171">
        <f aca="true" t="shared" si="153" ref="Q429:Q434">O429+P429</f>
        <v>1600</v>
      </c>
      <c r="R429" s="171">
        <v>1600</v>
      </c>
      <c r="S429" s="168">
        <f t="shared" si="140"/>
        <v>100</v>
      </c>
    </row>
    <row r="430" spans="1:19" ht="12.75">
      <c r="A430" s="17" t="s">
        <v>321</v>
      </c>
      <c r="B430" s="55"/>
      <c r="C430" s="75">
        <v>48000</v>
      </c>
      <c r="D430" s="73"/>
      <c r="E430" s="73"/>
      <c r="F430" s="74">
        <f t="shared" si="149"/>
        <v>48000</v>
      </c>
      <c r="G430" s="75"/>
      <c r="H430" s="73"/>
      <c r="I430" s="74">
        <f t="shared" si="150"/>
        <v>48000</v>
      </c>
      <c r="J430" s="75"/>
      <c r="K430" s="73"/>
      <c r="L430" s="136">
        <f t="shared" si="151"/>
        <v>48000</v>
      </c>
      <c r="M430" s="75"/>
      <c r="N430" s="73"/>
      <c r="O430" s="74">
        <f t="shared" si="152"/>
        <v>48000</v>
      </c>
      <c r="P430" s="187"/>
      <c r="Q430" s="171">
        <f t="shared" si="153"/>
        <v>48000</v>
      </c>
      <c r="R430" s="171">
        <v>48000</v>
      </c>
      <c r="S430" s="168">
        <f t="shared" si="140"/>
        <v>100</v>
      </c>
    </row>
    <row r="431" spans="1:19" ht="12.75">
      <c r="A431" s="13" t="s">
        <v>98</v>
      </c>
      <c r="B431" s="55"/>
      <c r="C431" s="75"/>
      <c r="D431" s="73">
        <f>753.85</f>
        <v>753.85</v>
      </c>
      <c r="E431" s="73"/>
      <c r="F431" s="74">
        <f t="shared" si="149"/>
        <v>753.85</v>
      </c>
      <c r="G431" s="75">
        <f>3300</f>
        <v>3300</v>
      </c>
      <c r="H431" s="73"/>
      <c r="I431" s="74">
        <f t="shared" si="150"/>
        <v>4053.85</v>
      </c>
      <c r="J431" s="75"/>
      <c r="K431" s="73"/>
      <c r="L431" s="136">
        <f t="shared" si="151"/>
        <v>4053.85</v>
      </c>
      <c r="M431" s="75"/>
      <c r="N431" s="73"/>
      <c r="O431" s="74">
        <f t="shared" si="152"/>
        <v>4053.85</v>
      </c>
      <c r="P431" s="187"/>
      <c r="Q431" s="171">
        <f t="shared" si="153"/>
        <v>4053.85</v>
      </c>
      <c r="R431" s="171">
        <v>3610.43</v>
      </c>
      <c r="S431" s="168">
        <f t="shared" si="140"/>
        <v>89.06175610839078</v>
      </c>
    </row>
    <row r="432" spans="1:19" ht="12.75">
      <c r="A432" s="13" t="s">
        <v>83</v>
      </c>
      <c r="B432" s="55"/>
      <c r="C432" s="75"/>
      <c r="D432" s="73">
        <f>950+250+200</f>
        <v>1400</v>
      </c>
      <c r="E432" s="73"/>
      <c r="F432" s="74">
        <f t="shared" si="149"/>
        <v>1400</v>
      </c>
      <c r="G432" s="75">
        <f>400+150</f>
        <v>550</v>
      </c>
      <c r="H432" s="73"/>
      <c r="I432" s="74">
        <f t="shared" si="150"/>
        <v>1950</v>
      </c>
      <c r="J432" s="89">
        <f>300</f>
        <v>300</v>
      </c>
      <c r="K432" s="73"/>
      <c r="L432" s="136">
        <f t="shared" si="151"/>
        <v>2250</v>
      </c>
      <c r="M432" s="75"/>
      <c r="N432" s="73"/>
      <c r="O432" s="74">
        <f t="shared" si="152"/>
        <v>2250</v>
      </c>
      <c r="P432" s="187"/>
      <c r="Q432" s="171">
        <f t="shared" si="153"/>
        <v>2250</v>
      </c>
      <c r="R432" s="171">
        <v>2250</v>
      </c>
      <c r="S432" s="168">
        <f t="shared" si="140"/>
        <v>100</v>
      </c>
    </row>
    <row r="433" spans="1:19" ht="12.75" hidden="1">
      <c r="A433" s="13" t="s">
        <v>217</v>
      </c>
      <c r="B433" s="55"/>
      <c r="C433" s="75"/>
      <c r="D433" s="73"/>
      <c r="E433" s="73"/>
      <c r="F433" s="74">
        <f t="shared" si="149"/>
        <v>0</v>
      </c>
      <c r="G433" s="75"/>
      <c r="H433" s="73"/>
      <c r="I433" s="74">
        <f t="shared" si="150"/>
        <v>0</v>
      </c>
      <c r="J433" s="89"/>
      <c r="K433" s="73"/>
      <c r="L433" s="136">
        <f t="shared" si="151"/>
        <v>0</v>
      </c>
      <c r="M433" s="75"/>
      <c r="N433" s="73"/>
      <c r="O433" s="74">
        <f t="shared" si="152"/>
        <v>0</v>
      </c>
      <c r="P433" s="187"/>
      <c r="Q433" s="171">
        <f t="shared" si="153"/>
        <v>0</v>
      </c>
      <c r="R433" s="171"/>
      <c r="S433" s="168" t="e">
        <f t="shared" si="140"/>
        <v>#DIV/0!</v>
      </c>
    </row>
    <row r="434" spans="1:19" ht="12.75">
      <c r="A434" s="13" t="s">
        <v>126</v>
      </c>
      <c r="B434" s="55">
        <v>14004</v>
      </c>
      <c r="C434" s="75"/>
      <c r="D434" s="73">
        <v>5221</v>
      </c>
      <c r="E434" s="73"/>
      <c r="F434" s="74">
        <f t="shared" si="149"/>
        <v>5221</v>
      </c>
      <c r="G434" s="75">
        <v>26.4</v>
      </c>
      <c r="H434" s="73"/>
      <c r="I434" s="74">
        <f t="shared" si="150"/>
        <v>5247.4</v>
      </c>
      <c r="J434" s="75"/>
      <c r="K434" s="73"/>
      <c r="L434" s="136">
        <f t="shared" si="151"/>
        <v>5247.4</v>
      </c>
      <c r="M434" s="75">
        <f>100</f>
        <v>100</v>
      </c>
      <c r="N434" s="73"/>
      <c r="O434" s="74">
        <f t="shared" si="152"/>
        <v>5347.4</v>
      </c>
      <c r="P434" s="187"/>
      <c r="Q434" s="171">
        <f t="shared" si="153"/>
        <v>5347.4</v>
      </c>
      <c r="R434" s="171">
        <v>5279.23</v>
      </c>
      <c r="S434" s="168">
        <f t="shared" si="140"/>
        <v>98.72517485132961</v>
      </c>
    </row>
    <row r="435" spans="1:19" ht="12.75">
      <c r="A435" s="19" t="s">
        <v>70</v>
      </c>
      <c r="B435" s="59"/>
      <c r="C435" s="80">
        <f aca="true" t="shared" si="154" ref="C435:Q435">SUM(C437:C444)</f>
        <v>17000</v>
      </c>
      <c r="D435" s="81">
        <f t="shared" si="154"/>
        <v>21913.989999999998</v>
      </c>
      <c r="E435" s="81">
        <f t="shared" si="154"/>
        <v>0</v>
      </c>
      <c r="F435" s="82">
        <f t="shared" si="154"/>
        <v>38913.99</v>
      </c>
      <c r="G435" s="80">
        <f t="shared" si="154"/>
        <v>-7720</v>
      </c>
      <c r="H435" s="81">
        <f t="shared" si="154"/>
        <v>0</v>
      </c>
      <c r="I435" s="82">
        <f t="shared" si="154"/>
        <v>31193.989999999998</v>
      </c>
      <c r="J435" s="80">
        <f t="shared" si="154"/>
        <v>4350</v>
      </c>
      <c r="K435" s="81">
        <f t="shared" si="154"/>
        <v>0</v>
      </c>
      <c r="L435" s="140">
        <f t="shared" si="154"/>
        <v>35543.99</v>
      </c>
      <c r="M435" s="80">
        <f t="shared" si="154"/>
        <v>168.54999999999995</v>
      </c>
      <c r="N435" s="81">
        <f t="shared" si="154"/>
        <v>0</v>
      </c>
      <c r="O435" s="82">
        <f t="shared" si="154"/>
        <v>35712.54</v>
      </c>
      <c r="P435" s="193">
        <f t="shared" si="154"/>
        <v>0</v>
      </c>
      <c r="Q435" s="176">
        <f t="shared" si="154"/>
        <v>35712.54</v>
      </c>
      <c r="R435" s="176">
        <f>SUM(R437:R444)</f>
        <v>35351.159999999996</v>
      </c>
      <c r="S435" s="168">
        <f t="shared" si="140"/>
        <v>98.98808653766994</v>
      </c>
    </row>
    <row r="436" spans="1:19" ht="12.75">
      <c r="A436" s="15" t="s">
        <v>35</v>
      </c>
      <c r="B436" s="55"/>
      <c r="C436" s="75"/>
      <c r="D436" s="73"/>
      <c r="E436" s="73"/>
      <c r="F436" s="74"/>
      <c r="G436" s="75"/>
      <c r="H436" s="73"/>
      <c r="I436" s="74"/>
      <c r="J436" s="75"/>
      <c r="K436" s="73"/>
      <c r="L436" s="136"/>
      <c r="M436" s="75"/>
      <c r="N436" s="73"/>
      <c r="O436" s="74"/>
      <c r="P436" s="187"/>
      <c r="Q436" s="171"/>
      <c r="R436" s="171"/>
      <c r="S436" s="168"/>
    </row>
    <row r="437" spans="1:19" ht="12.75">
      <c r="A437" s="17" t="s">
        <v>87</v>
      </c>
      <c r="B437" s="55"/>
      <c r="C437" s="75"/>
      <c r="D437" s="73">
        <f>281.46+2000+300+2000+600+450+3000+800+500</f>
        <v>9931.46</v>
      </c>
      <c r="E437" s="73"/>
      <c r="F437" s="74">
        <f aca="true" t="shared" si="155" ref="F437:F444">C437+D437+E437</f>
        <v>9931.46</v>
      </c>
      <c r="G437" s="75">
        <f>600+1200+80</f>
        <v>1880</v>
      </c>
      <c r="H437" s="73"/>
      <c r="I437" s="74">
        <f>F437+G437+H437</f>
        <v>11811.46</v>
      </c>
      <c r="J437" s="75">
        <f>500+1000+200</f>
        <v>1700</v>
      </c>
      <c r="K437" s="73"/>
      <c r="L437" s="136">
        <f>I437+J437+K437</f>
        <v>13511.46</v>
      </c>
      <c r="M437" s="75"/>
      <c r="N437" s="73"/>
      <c r="O437" s="74">
        <f aca="true" t="shared" si="156" ref="O437:O444">L437+M437+N437</f>
        <v>13511.46</v>
      </c>
      <c r="P437" s="187"/>
      <c r="Q437" s="171">
        <f>O437+P437</f>
        <v>13511.46</v>
      </c>
      <c r="R437" s="171">
        <v>13511.46</v>
      </c>
      <c r="S437" s="168">
        <f t="shared" si="140"/>
        <v>100</v>
      </c>
    </row>
    <row r="438" spans="1:19" ht="12.75">
      <c r="A438" s="17" t="s">
        <v>314</v>
      </c>
      <c r="B438" s="55"/>
      <c r="C438" s="75"/>
      <c r="D438" s="73">
        <v>3000</v>
      </c>
      <c r="E438" s="73"/>
      <c r="F438" s="74">
        <f t="shared" si="155"/>
        <v>3000</v>
      </c>
      <c r="G438" s="75"/>
      <c r="H438" s="73"/>
      <c r="I438" s="74">
        <f aca="true" t="shared" si="157" ref="I438:I444">F438+G438+H438</f>
        <v>3000</v>
      </c>
      <c r="J438" s="75"/>
      <c r="K438" s="73"/>
      <c r="L438" s="136">
        <f>I438+J438+K438</f>
        <v>3000</v>
      </c>
      <c r="M438" s="75"/>
      <c r="N438" s="73"/>
      <c r="O438" s="74">
        <f t="shared" si="156"/>
        <v>3000</v>
      </c>
      <c r="P438" s="187"/>
      <c r="Q438" s="171">
        <f aca="true" t="shared" si="158" ref="Q438:Q444">O438+P438</f>
        <v>3000</v>
      </c>
      <c r="R438" s="171">
        <v>3000</v>
      </c>
      <c r="S438" s="168">
        <f t="shared" si="140"/>
        <v>100</v>
      </c>
    </row>
    <row r="439" spans="1:19" ht="12.75">
      <c r="A439" s="17" t="s">
        <v>282</v>
      </c>
      <c r="B439" s="55"/>
      <c r="C439" s="75">
        <v>3000</v>
      </c>
      <c r="D439" s="73"/>
      <c r="E439" s="73"/>
      <c r="F439" s="74">
        <f t="shared" si="155"/>
        <v>3000</v>
      </c>
      <c r="G439" s="75"/>
      <c r="H439" s="73"/>
      <c r="I439" s="74">
        <f t="shared" si="157"/>
        <v>3000</v>
      </c>
      <c r="J439" s="75"/>
      <c r="K439" s="73"/>
      <c r="L439" s="136">
        <f>I439+J439+K439</f>
        <v>3000</v>
      </c>
      <c r="M439" s="75"/>
      <c r="N439" s="73"/>
      <c r="O439" s="74">
        <f t="shared" si="156"/>
        <v>3000</v>
      </c>
      <c r="P439" s="187"/>
      <c r="Q439" s="171">
        <f t="shared" si="158"/>
        <v>3000</v>
      </c>
      <c r="R439" s="171">
        <v>3000</v>
      </c>
      <c r="S439" s="168">
        <f t="shared" si="140"/>
        <v>100</v>
      </c>
    </row>
    <row r="440" spans="1:19" ht="12.75">
      <c r="A440" s="17" t="s">
        <v>283</v>
      </c>
      <c r="B440" s="55"/>
      <c r="C440" s="75">
        <v>9000</v>
      </c>
      <c r="D440" s="73"/>
      <c r="E440" s="73"/>
      <c r="F440" s="74">
        <f t="shared" si="155"/>
        <v>9000</v>
      </c>
      <c r="G440" s="75"/>
      <c r="H440" s="73"/>
      <c r="I440" s="74">
        <f t="shared" si="157"/>
        <v>9000</v>
      </c>
      <c r="J440" s="75"/>
      <c r="K440" s="73"/>
      <c r="L440" s="136">
        <f>I440+J440+K440</f>
        <v>9000</v>
      </c>
      <c r="M440" s="75"/>
      <c r="N440" s="73"/>
      <c r="O440" s="74">
        <f t="shared" si="156"/>
        <v>9000</v>
      </c>
      <c r="P440" s="187"/>
      <c r="Q440" s="171">
        <f t="shared" si="158"/>
        <v>9000</v>
      </c>
      <c r="R440" s="171">
        <v>9000</v>
      </c>
      <c r="S440" s="168">
        <f t="shared" si="140"/>
        <v>100</v>
      </c>
    </row>
    <row r="441" spans="1:19" ht="12.75" hidden="1">
      <c r="A441" s="17" t="s">
        <v>264</v>
      </c>
      <c r="B441" s="55"/>
      <c r="C441" s="75"/>
      <c r="D441" s="73"/>
      <c r="E441" s="73"/>
      <c r="F441" s="74">
        <f t="shared" si="155"/>
        <v>0</v>
      </c>
      <c r="G441" s="75"/>
      <c r="H441" s="73"/>
      <c r="I441" s="74">
        <f t="shared" si="157"/>
        <v>0</v>
      </c>
      <c r="J441" s="75"/>
      <c r="K441" s="73"/>
      <c r="L441" s="136"/>
      <c r="M441" s="75"/>
      <c r="N441" s="73"/>
      <c r="O441" s="74">
        <f t="shared" si="156"/>
        <v>0</v>
      </c>
      <c r="P441" s="187"/>
      <c r="Q441" s="171">
        <f t="shared" si="158"/>
        <v>0</v>
      </c>
      <c r="R441" s="171"/>
      <c r="S441" s="168" t="e">
        <f t="shared" si="140"/>
        <v>#DIV/0!</v>
      </c>
    </row>
    <row r="442" spans="1:19" ht="12.75">
      <c r="A442" s="13" t="s">
        <v>71</v>
      </c>
      <c r="B442" s="55"/>
      <c r="C442" s="75"/>
      <c r="D442" s="73">
        <f>1200+400+100</f>
        <v>1700</v>
      </c>
      <c r="E442" s="73"/>
      <c r="F442" s="74">
        <f t="shared" si="155"/>
        <v>1700</v>
      </c>
      <c r="G442" s="75">
        <f>400</f>
        <v>400</v>
      </c>
      <c r="H442" s="73"/>
      <c r="I442" s="74">
        <f t="shared" si="157"/>
        <v>2100</v>
      </c>
      <c r="J442" s="75">
        <f>1500+150+1000</f>
        <v>2650</v>
      </c>
      <c r="K442" s="73"/>
      <c r="L442" s="136">
        <f>I442+J442+K442</f>
        <v>4750</v>
      </c>
      <c r="M442" s="75">
        <f>230+421.08</f>
        <v>651.0799999999999</v>
      </c>
      <c r="N442" s="73"/>
      <c r="O442" s="74">
        <f t="shared" si="156"/>
        <v>5401.08</v>
      </c>
      <c r="P442" s="187"/>
      <c r="Q442" s="171">
        <f t="shared" si="158"/>
        <v>5401.08</v>
      </c>
      <c r="R442" s="171">
        <v>5390.7</v>
      </c>
      <c r="S442" s="168">
        <f t="shared" si="140"/>
        <v>99.80781621453487</v>
      </c>
    </row>
    <row r="443" spans="1:19" ht="12.75" hidden="1">
      <c r="A443" s="13" t="s">
        <v>98</v>
      </c>
      <c r="B443" s="55"/>
      <c r="C443" s="75"/>
      <c r="D443" s="73"/>
      <c r="E443" s="73"/>
      <c r="F443" s="74">
        <f t="shared" si="155"/>
        <v>0</v>
      </c>
      <c r="G443" s="75"/>
      <c r="H443" s="73"/>
      <c r="I443" s="74">
        <f t="shared" si="157"/>
        <v>0</v>
      </c>
      <c r="J443" s="75"/>
      <c r="K443" s="73"/>
      <c r="L443" s="136">
        <f>I443+J443+K443</f>
        <v>0</v>
      </c>
      <c r="M443" s="75"/>
      <c r="N443" s="73"/>
      <c r="O443" s="74">
        <f t="shared" si="156"/>
        <v>0</v>
      </c>
      <c r="P443" s="187"/>
      <c r="Q443" s="171">
        <f t="shared" si="158"/>
        <v>0</v>
      </c>
      <c r="R443" s="171"/>
      <c r="S443" s="168" t="e">
        <f t="shared" si="140"/>
        <v>#DIV/0!</v>
      </c>
    </row>
    <row r="444" spans="1:19" ht="12.75">
      <c r="A444" s="23" t="s">
        <v>265</v>
      </c>
      <c r="B444" s="58"/>
      <c r="C444" s="83">
        <v>5000</v>
      </c>
      <c r="D444" s="84">
        <f>2282.53+5000</f>
        <v>7282.530000000001</v>
      </c>
      <c r="E444" s="84"/>
      <c r="F444" s="121">
        <f t="shared" si="155"/>
        <v>12282.53</v>
      </c>
      <c r="G444" s="83">
        <f>-10000</f>
        <v>-10000</v>
      </c>
      <c r="H444" s="84"/>
      <c r="I444" s="121">
        <f t="shared" si="157"/>
        <v>2282.5300000000007</v>
      </c>
      <c r="J444" s="83"/>
      <c r="K444" s="84"/>
      <c r="L444" s="150">
        <f>I444+J444+K444</f>
        <v>2282.5300000000007</v>
      </c>
      <c r="M444" s="83">
        <f>-482.53</f>
        <v>-482.53</v>
      </c>
      <c r="N444" s="84"/>
      <c r="O444" s="121">
        <f t="shared" si="156"/>
        <v>1800.0000000000007</v>
      </c>
      <c r="P444" s="195"/>
      <c r="Q444" s="207">
        <f t="shared" si="158"/>
        <v>1800.0000000000007</v>
      </c>
      <c r="R444" s="207">
        <v>1449</v>
      </c>
      <c r="S444" s="215">
        <f t="shared" si="140"/>
        <v>80.49999999999997</v>
      </c>
    </row>
    <row r="445" spans="1:19" ht="12.75">
      <c r="A445" s="10" t="s">
        <v>127</v>
      </c>
      <c r="B445" s="59"/>
      <c r="C445" s="70">
        <f aca="true" t="shared" si="159" ref="C445:O445">C446+C449</f>
        <v>2042.3</v>
      </c>
      <c r="D445" s="71">
        <f t="shared" si="159"/>
        <v>0</v>
      </c>
      <c r="E445" s="71">
        <f t="shared" si="159"/>
        <v>0</v>
      </c>
      <c r="F445" s="72">
        <f t="shared" si="159"/>
        <v>2042.3</v>
      </c>
      <c r="G445" s="70">
        <f t="shared" si="159"/>
        <v>0</v>
      </c>
      <c r="H445" s="71">
        <f t="shared" si="159"/>
        <v>0</v>
      </c>
      <c r="I445" s="72">
        <f t="shared" si="159"/>
        <v>2042.3</v>
      </c>
      <c r="J445" s="70">
        <f t="shared" si="159"/>
        <v>0</v>
      </c>
      <c r="K445" s="71">
        <f t="shared" si="159"/>
        <v>0</v>
      </c>
      <c r="L445" s="138">
        <f t="shared" si="159"/>
        <v>2042.3</v>
      </c>
      <c r="M445" s="70">
        <f t="shared" si="159"/>
        <v>0</v>
      </c>
      <c r="N445" s="71">
        <f t="shared" si="159"/>
        <v>0</v>
      </c>
      <c r="O445" s="72">
        <f t="shared" si="159"/>
        <v>2042.3</v>
      </c>
      <c r="P445" s="188">
        <f>P446+P449</f>
        <v>0</v>
      </c>
      <c r="Q445" s="172">
        <f>Q446+Q449</f>
        <v>2042.3</v>
      </c>
      <c r="R445" s="172">
        <f>R446+R449</f>
        <v>849.32</v>
      </c>
      <c r="S445" s="165">
        <f t="shared" si="140"/>
        <v>41.58644665328307</v>
      </c>
    </row>
    <row r="446" spans="1:19" ht="12.75">
      <c r="A446" s="19" t="s">
        <v>64</v>
      </c>
      <c r="B446" s="59"/>
      <c r="C446" s="80">
        <f aca="true" t="shared" si="160" ref="C446:O446">SUM(C448:C448)</f>
        <v>2042.3</v>
      </c>
      <c r="D446" s="81">
        <f t="shared" si="160"/>
        <v>0</v>
      </c>
      <c r="E446" s="81">
        <f t="shared" si="160"/>
        <v>0</v>
      </c>
      <c r="F446" s="82">
        <f t="shared" si="160"/>
        <v>2042.3</v>
      </c>
      <c r="G446" s="80">
        <f t="shared" si="160"/>
        <v>0</v>
      </c>
      <c r="H446" s="81">
        <f t="shared" si="160"/>
        <v>0</v>
      </c>
      <c r="I446" s="82">
        <f t="shared" si="160"/>
        <v>2042.3</v>
      </c>
      <c r="J446" s="80">
        <f t="shared" si="160"/>
        <v>0</v>
      </c>
      <c r="K446" s="81">
        <f t="shared" si="160"/>
        <v>0</v>
      </c>
      <c r="L446" s="140">
        <f t="shared" si="160"/>
        <v>2042.3</v>
      </c>
      <c r="M446" s="80">
        <f t="shared" si="160"/>
        <v>0</v>
      </c>
      <c r="N446" s="81">
        <f t="shared" si="160"/>
        <v>0</v>
      </c>
      <c r="O446" s="82">
        <f t="shared" si="160"/>
        <v>2042.3</v>
      </c>
      <c r="P446" s="193">
        <f>SUM(P448:P448)</f>
        <v>0</v>
      </c>
      <c r="Q446" s="176">
        <f>SUM(Q448:Q448)</f>
        <v>2042.3</v>
      </c>
      <c r="R446" s="176">
        <f>SUM(R448:R448)</f>
        <v>849.32</v>
      </c>
      <c r="S446" s="214">
        <f t="shared" si="140"/>
        <v>41.58644665328307</v>
      </c>
    </row>
    <row r="447" spans="1:19" ht="12.75">
      <c r="A447" s="15" t="s">
        <v>35</v>
      </c>
      <c r="B447" s="55"/>
      <c r="C447" s="75"/>
      <c r="D447" s="73"/>
      <c r="E447" s="73"/>
      <c r="F447" s="72"/>
      <c r="G447" s="75"/>
      <c r="H447" s="73"/>
      <c r="I447" s="72"/>
      <c r="J447" s="75"/>
      <c r="K447" s="73"/>
      <c r="L447" s="138"/>
      <c r="M447" s="75"/>
      <c r="N447" s="73"/>
      <c r="O447" s="72"/>
      <c r="P447" s="187"/>
      <c r="Q447" s="171"/>
      <c r="R447" s="171"/>
      <c r="S447" s="168"/>
    </row>
    <row r="448" spans="1:19" ht="13.5" thickBot="1">
      <c r="A448" s="231" t="s">
        <v>67</v>
      </c>
      <c r="B448" s="238"/>
      <c r="C448" s="241">
        <v>2042.3</v>
      </c>
      <c r="D448" s="234"/>
      <c r="E448" s="234"/>
      <c r="F448" s="235">
        <f>C448+D448+E448</f>
        <v>2042.3</v>
      </c>
      <c r="G448" s="233"/>
      <c r="H448" s="234"/>
      <c r="I448" s="235">
        <f>F448+G448+H448</f>
        <v>2042.3</v>
      </c>
      <c r="J448" s="233"/>
      <c r="K448" s="234"/>
      <c r="L448" s="236">
        <f>I448+J448+K448</f>
        <v>2042.3</v>
      </c>
      <c r="M448" s="233"/>
      <c r="N448" s="234"/>
      <c r="O448" s="235">
        <f>L448+M448+N448</f>
        <v>2042.3</v>
      </c>
      <c r="P448" s="205"/>
      <c r="Q448" s="164">
        <f>O448+P448</f>
        <v>2042.3</v>
      </c>
      <c r="R448" s="164">
        <v>849.32</v>
      </c>
      <c r="S448" s="184">
        <f t="shared" si="140"/>
        <v>41.58644665328307</v>
      </c>
    </row>
    <row r="449" spans="1:19" ht="12.75" hidden="1">
      <c r="A449" s="19" t="s">
        <v>70</v>
      </c>
      <c r="B449" s="59"/>
      <c r="C449" s="80">
        <f aca="true" t="shared" si="161" ref="C449:O449">SUM(C451:C451)</f>
        <v>0</v>
      </c>
      <c r="D449" s="81">
        <f t="shared" si="161"/>
        <v>0</v>
      </c>
      <c r="E449" s="81">
        <f>SUM(E451:E451)</f>
        <v>0</v>
      </c>
      <c r="F449" s="82">
        <f t="shared" si="161"/>
        <v>0</v>
      </c>
      <c r="G449" s="80">
        <f t="shared" si="161"/>
        <v>0</v>
      </c>
      <c r="H449" s="81">
        <f t="shared" si="161"/>
        <v>0</v>
      </c>
      <c r="I449" s="82">
        <f t="shared" si="161"/>
        <v>0</v>
      </c>
      <c r="J449" s="80"/>
      <c r="K449" s="81"/>
      <c r="L449" s="140">
        <f t="shared" si="161"/>
        <v>0</v>
      </c>
      <c r="M449" s="80"/>
      <c r="N449" s="81"/>
      <c r="O449" s="82">
        <f t="shared" si="161"/>
        <v>0</v>
      </c>
      <c r="P449" s="187"/>
      <c r="Q449" s="171">
        <f>O449+P449</f>
        <v>0</v>
      </c>
      <c r="R449" s="171"/>
      <c r="S449" s="168" t="e">
        <f t="shared" si="140"/>
        <v>#DIV/0!</v>
      </c>
    </row>
    <row r="450" spans="1:19" ht="12.75" hidden="1">
      <c r="A450" s="15" t="s">
        <v>35</v>
      </c>
      <c r="B450" s="55"/>
      <c r="C450" s="75"/>
      <c r="D450" s="73"/>
      <c r="E450" s="73"/>
      <c r="F450" s="74"/>
      <c r="G450" s="75"/>
      <c r="H450" s="73"/>
      <c r="I450" s="74"/>
      <c r="J450" s="75"/>
      <c r="K450" s="73"/>
      <c r="L450" s="136"/>
      <c r="M450" s="75"/>
      <c r="N450" s="73"/>
      <c r="O450" s="74"/>
      <c r="P450" s="187"/>
      <c r="Q450" s="171"/>
      <c r="R450" s="171"/>
      <c r="S450" s="168" t="e">
        <f t="shared" si="140"/>
        <v>#DIV/0!</v>
      </c>
    </row>
    <row r="451" spans="1:19" ht="12.75" hidden="1">
      <c r="A451" s="16" t="s">
        <v>71</v>
      </c>
      <c r="B451" s="58"/>
      <c r="C451" s="83"/>
      <c r="D451" s="84"/>
      <c r="E451" s="84"/>
      <c r="F451" s="121">
        <f>C451+D451+E451</f>
        <v>0</v>
      </c>
      <c r="G451" s="83"/>
      <c r="H451" s="84"/>
      <c r="I451" s="121">
        <f>F451+G451+H451</f>
        <v>0</v>
      </c>
      <c r="J451" s="83"/>
      <c r="K451" s="84"/>
      <c r="L451" s="150">
        <f>I451+J451+K451</f>
        <v>0</v>
      </c>
      <c r="M451" s="83"/>
      <c r="N451" s="84"/>
      <c r="O451" s="121">
        <f>L451+M451+N451</f>
        <v>0</v>
      </c>
      <c r="P451" s="195"/>
      <c r="Q451" s="207">
        <f>O451+P451</f>
        <v>0</v>
      </c>
      <c r="R451" s="171"/>
      <c r="S451" s="168" t="e">
        <f t="shared" si="140"/>
        <v>#DIV/0!</v>
      </c>
    </row>
    <row r="452" spans="1:19" ht="12.75">
      <c r="A452" s="10" t="s">
        <v>128</v>
      </c>
      <c r="B452" s="59"/>
      <c r="C452" s="70">
        <f aca="true" t="shared" si="162" ref="C452:R452">C453</f>
        <v>76892.3</v>
      </c>
      <c r="D452" s="71">
        <f t="shared" si="162"/>
        <v>28901.27</v>
      </c>
      <c r="E452" s="71">
        <f t="shared" si="162"/>
        <v>0</v>
      </c>
      <c r="F452" s="72">
        <f t="shared" si="162"/>
        <v>105793.57</v>
      </c>
      <c r="G452" s="70">
        <f t="shared" si="162"/>
        <v>10433.58</v>
      </c>
      <c r="H452" s="71">
        <f t="shared" si="162"/>
        <v>-1360</v>
      </c>
      <c r="I452" s="72">
        <f t="shared" si="162"/>
        <v>114867.15000000001</v>
      </c>
      <c r="J452" s="70">
        <f t="shared" si="162"/>
        <v>-12293.01</v>
      </c>
      <c r="K452" s="71">
        <f t="shared" si="162"/>
        <v>-6600</v>
      </c>
      <c r="L452" s="138">
        <f t="shared" si="162"/>
        <v>95974.14000000001</v>
      </c>
      <c r="M452" s="70">
        <f t="shared" si="162"/>
        <v>-2628.61</v>
      </c>
      <c r="N452" s="71">
        <f t="shared" si="162"/>
        <v>0</v>
      </c>
      <c r="O452" s="72">
        <f t="shared" si="162"/>
        <v>93345.53</v>
      </c>
      <c r="P452" s="188">
        <f t="shared" si="162"/>
        <v>-5835</v>
      </c>
      <c r="Q452" s="172">
        <f t="shared" si="162"/>
        <v>87510.53</v>
      </c>
      <c r="R452" s="172">
        <f t="shared" si="162"/>
        <v>30247.7</v>
      </c>
      <c r="S452" s="168">
        <f t="shared" si="140"/>
        <v>34.56464039241906</v>
      </c>
    </row>
    <row r="453" spans="1:19" ht="12.75">
      <c r="A453" s="19" t="s">
        <v>64</v>
      </c>
      <c r="B453" s="59"/>
      <c r="C453" s="80">
        <f aca="true" t="shared" si="163" ref="C453:O453">SUM(C455:C459)</f>
        <v>76892.3</v>
      </c>
      <c r="D453" s="81">
        <f t="shared" si="163"/>
        <v>28901.27</v>
      </c>
      <c r="E453" s="81">
        <f t="shared" si="163"/>
        <v>0</v>
      </c>
      <c r="F453" s="82">
        <f t="shared" si="163"/>
        <v>105793.57</v>
      </c>
      <c r="G453" s="80">
        <f t="shared" si="163"/>
        <v>10433.58</v>
      </c>
      <c r="H453" s="81">
        <f t="shared" si="163"/>
        <v>-1360</v>
      </c>
      <c r="I453" s="82">
        <f t="shared" si="163"/>
        <v>114867.15000000001</v>
      </c>
      <c r="J453" s="80">
        <f t="shared" si="163"/>
        <v>-12293.01</v>
      </c>
      <c r="K453" s="81">
        <f t="shared" si="163"/>
        <v>-6600</v>
      </c>
      <c r="L453" s="140">
        <f t="shared" si="163"/>
        <v>95974.14000000001</v>
      </c>
      <c r="M453" s="80">
        <f t="shared" si="163"/>
        <v>-2628.61</v>
      </c>
      <c r="N453" s="81">
        <f t="shared" si="163"/>
        <v>0</v>
      </c>
      <c r="O453" s="82">
        <f t="shared" si="163"/>
        <v>93345.53</v>
      </c>
      <c r="P453" s="193">
        <f>SUM(P455:P459)</f>
        <v>-5835</v>
      </c>
      <c r="Q453" s="176">
        <f>SUM(Q455:Q459)</f>
        <v>87510.53</v>
      </c>
      <c r="R453" s="176">
        <f>SUM(R455:R459)</f>
        <v>30247.7</v>
      </c>
      <c r="S453" s="168">
        <f t="shared" si="140"/>
        <v>34.56464039241906</v>
      </c>
    </row>
    <row r="454" spans="1:19" ht="12.75">
      <c r="A454" s="15" t="s">
        <v>35</v>
      </c>
      <c r="B454" s="55"/>
      <c r="C454" s="70"/>
      <c r="D454" s="71"/>
      <c r="E454" s="71"/>
      <c r="F454" s="72"/>
      <c r="G454" s="70"/>
      <c r="H454" s="71"/>
      <c r="I454" s="72"/>
      <c r="J454" s="70"/>
      <c r="K454" s="71"/>
      <c r="L454" s="138"/>
      <c r="M454" s="70"/>
      <c r="N454" s="71"/>
      <c r="O454" s="72"/>
      <c r="P454" s="187"/>
      <c r="Q454" s="171"/>
      <c r="R454" s="171"/>
      <c r="S454" s="168"/>
    </row>
    <row r="455" spans="1:19" ht="12.75">
      <c r="A455" s="22" t="s">
        <v>284</v>
      </c>
      <c r="B455" s="55"/>
      <c r="C455" s="75">
        <v>12000</v>
      </c>
      <c r="D455" s="73"/>
      <c r="E455" s="73"/>
      <c r="F455" s="74">
        <f>C455+D455+E455</f>
        <v>12000</v>
      </c>
      <c r="G455" s="75"/>
      <c r="H455" s="73">
        <f>-260</f>
        <v>-260</v>
      </c>
      <c r="I455" s="74">
        <f>F455+G455+H455</f>
        <v>11740</v>
      </c>
      <c r="J455" s="89"/>
      <c r="K455" s="73"/>
      <c r="L455" s="136">
        <f>I455+J455+K455</f>
        <v>11740</v>
      </c>
      <c r="M455" s="75">
        <f>-2000-400</f>
        <v>-2400</v>
      </c>
      <c r="N455" s="73"/>
      <c r="O455" s="74">
        <f>L455+M455+N455</f>
        <v>9340</v>
      </c>
      <c r="P455" s="187"/>
      <c r="Q455" s="171">
        <f>O455+P455</f>
        <v>9340</v>
      </c>
      <c r="R455" s="171">
        <v>0</v>
      </c>
      <c r="S455" s="168">
        <f t="shared" si="140"/>
        <v>0</v>
      </c>
    </row>
    <row r="456" spans="1:19" ht="12.75">
      <c r="A456" s="56" t="s">
        <v>285</v>
      </c>
      <c r="B456" s="55"/>
      <c r="C456" s="75">
        <v>15000</v>
      </c>
      <c r="D456" s="73"/>
      <c r="E456" s="73"/>
      <c r="F456" s="74">
        <f>C456+D456+E456</f>
        <v>15000</v>
      </c>
      <c r="G456" s="75"/>
      <c r="H456" s="73"/>
      <c r="I456" s="74">
        <f>F456+G456+H456</f>
        <v>15000</v>
      </c>
      <c r="J456" s="89">
        <f>-10000</f>
        <v>-10000</v>
      </c>
      <c r="K456" s="73"/>
      <c r="L456" s="136">
        <f>I456+J456+K456</f>
        <v>5000</v>
      </c>
      <c r="M456" s="75"/>
      <c r="N456" s="73"/>
      <c r="O456" s="74">
        <f>L456+M456+N456</f>
        <v>5000</v>
      </c>
      <c r="P456" s="187"/>
      <c r="Q456" s="171">
        <f>O456+P456</f>
        <v>5000</v>
      </c>
      <c r="R456" s="171">
        <v>0</v>
      </c>
      <c r="S456" s="168">
        <f t="shared" si="140"/>
        <v>0</v>
      </c>
    </row>
    <row r="457" spans="1:19" ht="12.75">
      <c r="A457" s="22" t="s">
        <v>129</v>
      </c>
      <c r="B457" s="55"/>
      <c r="C457" s="75"/>
      <c r="D457" s="73">
        <v>25369.72</v>
      </c>
      <c r="E457" s="73"/>
      <c r="F457" s="74">
        <f>C457+D457+E457</f>
        <v>25369.72</v>
      </c>
      <c r="G457" s="75"/>
      <c r="H457" s="73"/>
      <c r="I457" s="74">
        <f>F457+G457+H457</f>
        <v>25369.72</v>
      </c>
      <c r="J457" s="75"/>
      <c r="K457" s="73"/>
      <c r="L457" s="136">
        <f>I457+J457+K457</f>
        <v>25369.72</v>
      </c>
      <c r="M457" s="75"/>
      <c r="N457" s="73"/>
      <c r="O457" s="74">
        <f>L457+M457+N457</f>
        <v>25369.72</v>
      </c>
      <c r="P457" s="187"/>
      <c r="Q457" s="171">
        <f>O457+P457</f>
        <v>25369.72</v>
      </c>
      <c r="R457" s="171">
        <v>25369.72</v>
      </c>
      <c r="S457" s="168">
        <f t="shared" si="140"/>
        <v>100</v>
      </c>
    </row>
    <row r="458" spans="1:19" ht="12.75">
      <c r="A458" s="22" t="s">
        <v>130</v>
      </c>
      <c r="B458" s="55"/>
      <c r="C458" s="75"/>
      <c r="D458" s="73">
        <f>1431.55</f>
        <v>1431.55</v>
      </c>
      <c r="E458" s="73"/>
      <c r="F458" s="74">
        <f>C458+D458+E458</f>
        <v>1431.55</v>
      </c>
      <c r="G458" s="75"/>
      <c r="H458" s="73"/>
      <c r="I458" s="74">
        <f>F458+G458+H458</f>
        <v>1431.55</v>
      </c>
      <c r="J458" s="75"/>
      <c r="K458" s="73"/>
      <c r="L458" s="136">
        <f>I458+J458+K458</f>
        <v>1431.55</v>
      </c>
      <c r="M458" s="75"/>
      <c r="N458" s="73"/>
      <c r="O458" s="74">
        <f>L458+M458+N458</f>
        <v>1431.55</v>
      </c>
      <c r="P458" s="187"/>
      <c r="Q458" s="171">
        <f>O458+P458</f>
        <v>1431.55</v>
      </c>
      <c r="R458" s="171">
        <v>1431.55</v>
      </c>
      <c r="S458" s="168">
        <f t="shared" si="140"/>
        <v>100</v>
      </c>
    </row>
    <row r="459" spans="1:19" ht="12.75">
      <c r="A459" s="16" t="s">
        <v>67</v>
      </c>
      <c r="B459" s="58"/>
      <c r="C459" s="83">
        <v>49892.3</v>
      </c>
      <c r="D459" s="84">
        <v>2100</v>
      </c>
      <c r="E459" s="84"/>
      <c r="F459" s="121">
        <f>C459+D459+E459</f>
        <v>51992.3</v>
      </c>
      <c r="G459" s="83">
        <v>10433.58</v>
      </c>
      <c r="H459" s="84">
        <f>-1100</f>
        <v>-1100</v>
      </c>
      <c r="I459" s="121">
        <f>F459+G459+H459</f>
        <v>61325.880000000005</v>
      </c>
      <c r="J459" s="83">
        <f>-333.01-1960</f>
        <v>-2293.01</v>
      </c>
      <c r="K459" s="84">
        <v>-6600</v>
      </c>
      <c r="L459" s="150">
        <f>I459+J459+K459</f>
        <v>52432.87</v>
      </c>
      <c r="M459" s="83">
        <f>300-170-358.61</f>
        <v>-228.61</v>
      </c>
      <c r="N459" s="84"/>
      <c r="O459" s="121">
        <f>L459+M459+N459</f>
        <v>52204.26</v>
      </c>
      <c r="P459" s="195">
        <f>-5835</f>
        <v>-5835</v>
      </c>
      <c r="Q459" s="207">
        <f>O459+P459</f>
        <v>46369.26</v>
      </c>
      <c r="R459" s="207">
        <v>3446.43</v>
      </c>
      <c r="S459" s="215">
        <f t="shared" si="140"/>
        <v>7.432574942968681</v>
      </c>
    </row>
    <row r="460" spans="1:19" ht="12.75">
      <c r="A460" s="10" t="s">
        <v>227</v>
      </c>
      <c r="B460" s="59"/>
      <c r="C460" s="70">
        <f aca="true" t="shared" si="164" ref="C460:O460">C461+C473</f>
        <v>60902.299999999996</v>
      </c>
      <c r="D460" s="71">
        <f t="shared" si="164"/>
        <v>11327.16</v>
      </c>
      <c r="E460" s="71">
        <f t="shared" si="164"/>
        <v>0</v>
      </c>
      <c r="F460" s="72">
        <f t="shared" si="164"/>
        <v>72229.46</v>
      </c>
      <c r="G460" s="70">
        <f t="shared" si="164"/>
        <v>10000</v>
      </c>
      <c r="H460" s="71">
        <f t="shared" si="164"/>
        <v>1157.5299999999997</v>
      </c>
      <c r="I460" s="72">
        <f t="shared" si="164"/>
        <v>83386.99</v>
      </c>
      <c r="J460" s="70">
        <f t="shared" si="164"/>
        <v>1776.38</v>
      </c>
      <c r="K460" s="71">
        <f t="shared" si="164"/>
        <v>0</v>
      </c>
      <c r="L460" s="138">
        <f t="shared" si="164"/>
        <v>85163.37000000001</v>
      </c>
      <c r="M460" s="70">
        <f t="shared" si="164"/>
        <v>4436.7</v>
      </c>
      <c r="N460" s="71">
        <f t="shared" si="164"/>
        <v>0</v>
      </c>
      <c r="O460" s="72">
        <f t="shared" si="164"/>
        <v>89600.07</v>
      </c>
      <c r="P460" s="188">
        <f>P461+P473</f>
        <v>421.86</v>
      </c>
      <c r="Q460" s="172">
        <f>Q461+Q473</f>
        <v>90021.93000000001</v>
      </c>
      <c r="R460" s="172">
        <f>R461+R473</f>
        <v>80648.44</v>
      </c>
      <c r="S460" s="165">
        <f aca="true" t="shared" si="165" ref="S460:S523">R460/Q460*100</f>
        <v>89.5875482785139</v>
      </c>
    </row>
    <row r="461" spans="1:19" ht="12.75">
      <c r="A461" s="19" t="s">
        <v>64</v>
      </c>
      <c r="B461" s="59"/>
      <c r="C461" s="80">
        <f>SUM(C462:C472)</f>
        <v>48902.299999999996</v>
      </c>
      <c r="D461" s="81">
        <f>SUM(D462:D472)</f>
        <v>4327.160000000001</v>
      </c>
      <c r="E461" s="81">
        <f>SUM(E462:E470)</f>
        <v>-600</v>
      </c>
      <c r="F461" s="82">
        <f aca="true" t="shared" si="166" ref="F461:L461">SUM(F462:F472)</f>
        <v>52629.46000000001</v>
      </c>
      <c r="G461" s="80">
        <f t="shared" si="166"/>
        <v>-3875.9500000000003</v>
      </c>
      <c r="H461" s="81">
        <f t="shared" si="166"/>
        <v>-1028.17</v>
      </c>
      <c r="I461" s="82">
        <f t="shared" si="166"/>
        <v>47725.340000000004</v>
      </c>
      <c r="J461" s="80">
        <f t="shared" si="166"/>
        <v>1776.38</v>
      </c>
      <c r="K461" s="81">
        <f t="shared" si="166"/>
        <v>0</v>
      </c>
      <c r="L461" s="140">
        <f t="shared" si="166"/>
        <v>49501.72000000001</v>
      </c>
      <c r="M461" s="80">
        <f aca="true" t="shared" si="167" ref="M461:R461">SUM(M462:M472)</f>
        <v>2764.7</v>
      </c>
      <c r="N461" s="81">
        <f t="shared" si="167"/>
        <v>0</v>
      </c>
      <c r="O461" s="82">
        <f t="shared" si="167"/>
        <v>52266.42000000001</v>
      </c>
      <c r="P461" s="193">
        <f t="shared" si="167"/>
        <v>366.04</v>
      </c>
      <c r="Q461" s="176">
        <f t="shared" si="167"/>
        <v>52632.46000000001</v>
      </c>
      <c r="R461" s="176">
        <f t="shared" si="167"/>
        <v>51237.21</v>
      </c>
      <c r="S461" s="217">
        <f t="shared" si="165"/>
        <v>97.34906937657863</v>
      </c>
    </row>
    <row r="462" spans="1:19" ht="12.75">
      <c r="A462" s="13" t="s">
        <v>271</v>
      </c>
      <c r="B462" s="55"/>
      <c r="C462" s="75">
        <v>5248.6</v>
      </c>
      <c r="D462" s="73">
        <f>237.96</f>
        <v>237.96</v>
      </c>
      <c r="E462" s="73"/>
      <c r="F462" s="74">
        <f aca="true" t="shared" si="168" ref="F462:F472">C462+D462+E462</f>
        <v>5486.56</v>
      </c>
      <c r="G462" s="75"/>
      <c r="H462" s="73">
        <f>-2086</f>
        <v>-2086</v>
      </c>
      <c r="I462" s="74">
        <f>F462+G462+H462</f>
        <v>3400.5600000000004</v>
      </c>
      <c r="J462" s="75"/>
      <c r="K462" s="73"/>
      <c r="L462" s="136">
        <f>I462+J462+K462</f>
        <v>3400.5600000000004</v>
      </c>
      <c r="M462" s="75">
        <f>354</f>
        <v>354</v>
      </c>
      <c r="N462" s="73"/>
      <c r="O462" s="74">
        <f>L462+M462+N462</f>
        <v>3754.5600000000004</v>
      </c>
      <c r="P462" s="187">
        <v>11.88</v>
      </c>
      <c r="Q462" s="171">
        <f aca="true" t="shared" si="169" ref="Q462:Q472">O462+P462</f>
        <v>3766.4400000000005</v>
      </c>
      <c r="R462" s="171">
        <v>3667.58</v>
      </c>
      <c r="S462" s="168">
        <f t="shared" si="165"/>
        <v>97.37524027994603</v>
      </c>
    </row>
    <row r="463" spans="1:19" ht="12.75">
      <c r="A463" s="13" t="s">
        <v>272</v>
      </c>
      <c r="B463" s="55"/>
      <c r="C463" s="75">
        <v>3000</v>
      </c>
      <c r="D463" s="73">
        <f>2000+20</f>
        <v>2020</v>
      </c>
      <c r="E463" s="73"/>
      <c r="F463" s="74">
        <f t="shared" si="168"/>
        <v>5020</v>
      </c>
      <c r="G463" s="75"/>
      <c r="H463" s="73"/>
      <c r="I463" s="74">
        <f aca="true" t="shared" si="170" ref="I463:I472">F463+G463+H463</f>
        <v>5020</v>
      </c>
      <c r="J463" s="75"/>
      <c r="K463" s="73"/>
      <c r="L463" s="136">
        <f aca="true" t="shared" si="171" ref="L463:L472">I463+J463+K463</f>
        <v>5020</v>
      </c>
      <c r="M463" s="75"/>
      <c r="N463" s="73"/>
      <c r="O463" s="74">
        <f aca="true" t="shared" si="172" ref="O463:O472">L463+M463+N463</f>
        <v>5020</v>
      </c>
      <c r="P463" s="187"/>
      <c r="Q463" s="171">
        <f t="shared" si="169"/>
        <v>5020</v>
      </c>
      <c r="R463" s="171">
        <v>5020</v>
      </c>
      <c r="S463" s="168">
        <f t="shared" si="165"/>
        <v>100</v>
      </c>
    </row>
    <row r="464" spans="1:19" ht="12.75">
      <c r="A464" s="13" t="s">
        <v>273</v>
      </c>
      <c r="B464" s="55"/>
      <c r="C464" s="75">
        <v>5520</v>
      </c>
      <c r="D464" s="73">
        <f>205.32</f>
        <v>205.32</v>
      </c>
      <c r="E464" s="73"/>
      <c r="F464" s="74">
        <f t="shared" si="168"/>
        <v>5725.32</v>
      </c>
      <c r="G464" s="75"/>
      <c r="H464" s="73">
        <f>1100</f>
        <v>1100</v>
      </c>
      <c r="I464" s="74">
        <f t="shared" si="170"/>
        <v>6825.32</v>
      </c>
      <c r="J464" s="75">
        <f>2176.38</f>
        <v>2176.38</v>
      </c>
      <c r="K464" s="73"/>
      <c r="L464" s="136">
        <f t="shared" si="171"/>
        <v>9001.7</v>
      </c>
      <c r="M464" s="75"/>
      <c r="N464" s="73"/>
      <c r="O464" s="74">
        <f t="shared" si="172"/>
        <v>9001.7</v>
      </c>
      <c r="P464" s="187"/>
      <c r="Q464" s="171">
        <f t="shared" si="169"/>
        <v>9001.7</v>
      </c>
      <c r="R464" s="171">
        <v>8964.64</v>
      </c>
      <c r="S464" s="168">
        <f t="shared" si="165"/>
        <v>99.58829998778008</v>
      </c>
    </row>
    <row r="465" spans="1:19" ht="12.75">
      <c r="A465" s="13" t="s">
        <v>274</v>
      </c>
      <c r="B465" s="55"/>
      <c r="C465" s="75">
        <v>3680</v>
      </c>
      <c r="D465" s="73">
        <f>71.84</f>
        <v>71.84</v>
      </c>
      <c r="E465" s="73">
        <v>-600</v>
      </c>
      <c r="F465" s="74">
        <f t="shared" si="168"/>
        <v>3151.84</v>
      </c>
      <c r="G465" s="75"/>
      <c r="H465" s="73"/>
      <c r="I465" s="74">
        <f t="shared" si="170"/>
        <v>3151.84</v>
      </c>
      <c r="J465" s="75"/>
      <c r="K465" s="73"/>
      <c r="L465" s="136">
        <f t="shared" si="171"/>
        <v>3151.84</v>
      </c>
      <c r="M465" s="75"/>
      <c r="N465" s="73"/>
      <c r="O465" s="74">
        <f t="shared" si="172"/>
        <v>3151.84</v>
      </c>
      <c r="P465" s="187"/>
      <c r="Q465" s="171">
        <f t="shared" si="169"/>
        <v>3151.84</v>
      </c>
      <c r="R465" s="171">
        <v>3070.84</v>
      </c>
      <c r="S465" s="168">
        <f t="shared" si="165"/>
        <v>97.43007259251739</v>
      </c>
    </row>
    <row r="466" spans="1:19" ht="12.75">
      <c r="A466" s="13" t="s">
        <v>275</v>
      </c>
      <c r="B466" s="55"/>
      <c r="C466" s="75">
        <v>4304</v>
      </c>
      <c r="D466" s="88">
        <f>1009.18</f>
        <v>1009.18</v>
      </c>
      <c r="E466" s="88"/>
      <c r="F466" s="74">
        <f t="shared" si="168"/>
        <v>5313.18</v>
      </c>
      <c r="G466" s="75"/>
      <c r="H466" s="73">
        <f>-99.7</f>
        <v>-99.7</v>
      </c>
      <c r="I466" s="74">
        <f t="shared" si="170"/>
        <v>5213.4800000000005</v>
      </c>
      <c r="J466" s="75"/>
      <c r="K466" s="73"/>
      <c r="L466" s="136">
        <f t="shared" si="171"/>
        <v>5213.4800000000005</v>
      </c>
      <c r="M466" s="75"/>
      <c r="N466" s="73"/>
      <c r="O466" s="74">
        <f t="shared" si="172"/>
        <v>5213.4800000000005</v>
      </c>
      <c r="P466" s="187">
        <v>11.49</v>
      </c>
      <c r="Q466" s="171">
        <f t="shared" si="169"/>
        <v>5224.97</v>
      </c>
      <c r="R466" s="171">
        <v>5179.35</v>
      </c>
      <c r="S466" s="168">
        <f t="shared" si="165"/>
        <v>99.12688493905229</v>
      </c>
    </row>
    <row r="467" spans="1:19" ht="12.75">
      <c r="A467" s="13" t="s">
        <v>276</v>
      </c>
      <c r="B467" s="55"/>
      <c r="C467" s="75">
        <v>2000</v>
      </c>
      <c r="D467" s="73">
        <f>15.97</f>
        <v>15.97</v>
      </c>
      <c r="E467" s="73"/>
      <c r="F467" s="74">
        <f t="shared" si="168"/>
        <v>2015.97</v>
      </c>
      <c r="G467" s="75"/>
      <c r="H467" s="73"/>
      <c r="I467" s="74">
        <f t="shared" si="170"/>
        <v>2015.97</v>
      </c>
      <c r="J467" s="75"/>
      <c r="K467" s="73"/>
      <c r="L467" s="136">
        <f t="shared" si="171"/>
        <v>2015.97</v>
      </c>
      <c r="M467" s="75"/>
      <c r="N467" s="73"/>
      <c r="O467" s="74">
        <f t="shared" si="172"/>
        <v>2015.97</v>
      </c>
      <c r="P467" s="187">
        <v>8.11</v>
      </c>
      <c r="Q467" s="171">
        <f t="shared" si="169"/>
        <v>2024.08</v>
      </c>
      <c r="R467" s="171">
        <v>2015</v>
      </c>
      <c r="S467" s="168">
        <f t="shared" si="165"/>
        <v>99.5514011303901</v>
      </c>
    </row>
    <row r="468" spans="1:19" ht="12.75">
      <c r="A468" s="13" t="s">
        <v>277</v>
      </c>
      <c r="B468" s="55"/>
      <c r="C468" s="75">
        <v>9380</v>
      </c>
      <c r="D468" s="73">
        <f>760.69</f>
        <v>760.69</v>
      </c>
      <c r="E468" s="73"/>
      <c r="F468" s="74">
        <f t="shared" si="168"/>
        <v>10140.69</v>
      </c>
      <c r="G468" s="75"/>
      <c r="H468" s="73">
        <v>8</v>
      </c>
      <c r="I468" s="74">
        <f t="shared" si="170"/>
        <v>10148.69</v>
      </c>
      <c r="J468" s="75"/>
      <c r="K468" s="73"/>
      <c r="L468" s="136">
        <f t="shared" si="171"/>
        <v>10148.69</v>
      </c>
      <c r="M468" s="75">
        <f>-172</f>
        <v>-172</v>
      </c>
      <c r="N468" s="73"/>
      <c r="O468" s="74">
        <f t="shared" si="172"/>
        <v>9976.69</v>
      </c>
      <c r="P468" s="187"/>
      <c r="Q468" s="171">
        <f t="shared" si="169"/>
        <v>9976.69</v>
      </c>
      <c r="R468" s="171">
        <v>9598.24</v>
      </c>
      <c r="S468" s="168">
        <f t="shared" si="165"/>
        <v>96.20665771914332</v>
      </c>
    </row>
    <row r="469" spans="1:19" ht="12.75">
      <c r="A469" s="13" t="s">
        <v>278</v>
      </c>
      <c r="B469" s="55"/>
      <c r="C469" s="75">
        <v>7769.7</v>
      </c>
      <c r="D469" s="73">
        <f>-2000+185.44</f>
        <v>-1814.56</v>
      </c>
      <c r="E469" s="73"/>
      <c r="F469" s="74">
        <f t="shared" si="168"/>
        <v>5955.139999999999</v>
      </c>
      <c r="G469" s="75">
        <f>-4023.09</f>
        <v>-4023.09</v>
      </c>
      <c r="H469" s="73"/>
      <c r="I469" s="74">
        <f t="shared" si="170"/>
        <v>1932.0499999999993</v>
      </c>
      <c r="J469" s="75"/>
      <c r="K469" s="73"/>
      <c r="L469" s="136">
        <f t="shared" si="171"/>
        <v>1932.0499999999993</v>
      </c>
      <c r="M469" s="75"/>
      <c r="N469" s="73"/>
      <c r="O469" s="74">
        <f t="shared" si="172"/>
        <v>1932.0499999999993</v>
      </c>
      <c r="P469" s="187">
        <v>34.56</v>
      </c>
      <c r="Q469" s="171">
        <f t="shared" si="169"/>
        <v>1966.6099999999992</v>
      </c>
      <c r="R469" s="171">
        <v>1881</v>
      </c>
      <c r="S469" s="168">
        <f t="shared" si="165"/>
        <v>95.64682372203949</v>
      </c>
    </row>
    <row r="470" spans="1:19" ht="12.75">
      <c r="A470" s="13" t="s">
        <v>279</v>
      </c>
      <c r="B470" s="55"/>
      <c r="C470" s="75">
        <v>8000</v>
      </c>
      <c r="D470" s="73">
        <f>1765.46</f>
        <v>1765.46</v>
      </c>
      <c r="E470" s="73"/>
      <c r="F470" s="74">
        <f>C470+D470+E470</f>
        <v>9765.46</v>
      </c>
      <c r="G470" s="75">
        <f>147.14</f>
        <v>147.14</v>
      </c>
      <c r="H470" s="73">
        <v>49.53</v>
      </c>
      <c r="I470" s="74">
        <f t="shared" si="170"/>
        <v>9962.13</v>
      </c>
      <c r="J470" s="75">
        <f>-400</f>
        <v>-400</v>
      </c>
      <c r="K470" s="73"/>
      <c r="L470" s="136">
        <f t="shared" si="171"/>
        <v>9562.13</v>
      </c>
      <c r="M470" s="75">
        <f>800.7+400</f>
        <v>1200.7</v>
      </c>
      <c r="N470" s="73"/>
      <c r="O470" s="74">
        <f t="shared" si="172"/>
        <v>10762.83</v>
      </c>
      <c r="P470" s="187"/>
      <c r="Q470" s="171">
        <f t="shared" si="169"/>
        <v>10762.83</v>
      </c>
      <c r="R470" s="171">
        <v>10147.32</v>
      </c>
      <c r="S470" s="168">
        <f t="shared" si="165"/>
        <v>94.28115096122488</v>
      </c>
    </row>
    <row r="471" spans="1:19" ht="12.75">
      <c r="A471" s="13" t="s">
        <v>362</v>
      </c>
      <c r="B471" s="55"/>
      <c r="C471" s="75"/>
      <c r="D471" s="73"/>
      <c r="E471" s="73"/>
      <c r="F471" s="74"/>
      <c r="G471" s="75"/>
      <c r="H471" s="73"/>
      <c r="I471" s="74"/>
      <c r="J471" s="75"/>
      <c r="K471" s="73"/>
      <c r="L471" s="136">
        <f t="shared" si="171"/>
        <v>0</v>
      </c>
      <c r="M471" s="75">
        <f>160+100+200+250+172+500</f>
        <v>1382</v>
      </c>
      <c r="N471" s="73"/>
      <c r="O471" s="74">
        <f t="shared" si="172"/>
        <v>1382</v>
      </c>
      <c r="P471" s="187">
        <f>300</f>
        <v>300</v>
      </c>
      <c r="Q471" s="171">
        <f t="shared" si="169"/>
        <v>1682</v>
      </c>
      <c r="R471" s="171">
        <v>1682</v>
      </c>
      <c r="S471" s="168">
        <f t="shared" si="165"/>
        <v>100</v>
      </c>
    </row>
    <row r="472" spans="1:19" ht="12.75">
      <c r="A472" s="13" t="s">
        <v>67</v>
      </c>
      <c r="B472" s="55"/>
      <c r="C472" s="75"/>
      <c r="D472" s="73">
        <v>55.3</v>
      </c>
      <c r="E472" s="73"/>
      <c r="F472" s="74">
        <f t="shared" si="168"/>
        <v>55.3</v>
      </c>
      <c r="G472" s="75"/>
      <c r="H472" s="73"/>
      <c r="I472" s="74">
        <f t="shared" si="170"/>
        <v>55.3</v>
      </c>
      <c r="J472" s="75"/>
      <c r="K472" s="73"/>
      <c r="L472" s="136">
        <f t="shared" si="171"/>
        <v>55.3</v>
      </c>
      <c r="M472" s="75"/>
      <c r="N472" s="73"/>
      <c r="O472" s="74">
        <f t="shared" si="172"/>
        <v>55.3</v>
      </c>
      <c r="P472" s="187"/>
      <c r="Q472" s="171">
        <f t="shared" si="169"/>
        <v>55.3</v>
      </c>
      <c r="R472" s="171">
        <v>11.24</v>
      </c>
      <c r="S472" s="168">
        <f t="shared" si="165"/>
        <v>20.325497287522605</v>
      </c>
    </row>
    <row r="473" spans="1:19" ht="12.75">
      <c r="A473" s="19" t="s">
        <v>70</v>
      </c>
      <c r="B473" s="59"/>
      <c r="C473" s="80">
        <f aca="true" t="shared" si="173" ref="C473:Q473">SUM(C475:C480)</f>
        <v>12000</v>
      </c>
      <c r="D473" s="81">
        <f t="shared" si="173"/>
        <v>7000</v>
      </c>
      <c r="E473" s="81">
        <f t="shared" si="173"/>
        <v>600</v>
      </c>
      <c r="F473" s="82">
        <f t="shared" si="173"/>
        <v>19600</v>
      </c>
      <c r="G473" s="80">
        <f t="shared" si="173"/>
        <v>13875.95</v>
      </c>
      <c r="H473" s="81">
        <f t="shared" si="173"/>
        <v>2185.7</v>
      </c>
      <c r="I473" s="82">
        <f t="shared" si="173"/>
        <v>35661.65</v>
      </c>
      <c r="J473" s="80">
        <f t="shared" si="173"/>
        <v>0</v>
      </c>
      <c r="K473" s="81">
        <f t="shared" si="173"/>
        <v>0</v>
      </c>
      <c r="L473" s="140">
        <f t="shared" si="173"/>
        <v>35661.65</v>
      </c>
      <c r="M473" s="80">
        <f t="shared" si="173"/>
        <v>1671.9999999999998</v>
      </c>
      <c r="N473" s="81">
        <f t="shared" si="173"/>
        <v>0</v>
      </c>
      <c r="O473" s="82">
        <f t="shared" si="173"/>
        <v>37333.649999999994</v>
      </c>
      <c r="P473" s="193">
        <f t="shared" si="173"/>
        <v>55.82</v>
      </c>
      <c r="Q473" s="176">
        <f t="shared" si="173"/>
        <v>37389.47</v>
      </c>
      <c r="R473" s="179">
        <f>SUM(R475:R480)</f>
        <v>29411.230000000003</v>
      </c>
      <c r="S473" s="168">
        <f t="shared" si="165"/>
        <v>78.66179969922014</v>
      </c>
    </row>
    <row r="474" spans="1:19" ht="12.75">
      <c r="A474" s="15" t="s">
        <v>35</v>
      </c>
      <c r="B474" s="55"/>
      <c r="C474" s="75"/>
      <c r="D474" s="73"/>
      <c r="E474" s="73"/>
      <c r="F474" s="74"/>
      <c r="G474" s="75"/>
      <c r="H474" s="73"/>
      <c r="I474" s="74"/>
      <c r="J474" s="75"/>
      <c r="K474" s="73"/>
      <c r="L474" s="136"/>
      <c r="M474" s="75"/>
      <c r="N474" s="73"/>
      <c r="O474" s="74"/>
      <c r="P474" s="187"/>
      <c r="Q474" s="171"/>
      <c r="R474" s="171"/>
      <c r="S474" s="168"/>
    </row>
    <row r="475" spans="1:19" ht="12.75">
      <c r="A475" s="17" t="s">
        <v>315</v>
      </c>
      <c r="B475" s="55"/>
      <c r="C475" s="75"/>
      <c r="D475" s="73">
        <v>2000</v>
      </c>
      <c r="E475" s="73"/>
      <c r="F475" s="74">
        <f>C475+D475+E475</f>
        <v>2000</v>
      </c>
      <c r="G475" s="75">
        <f>4023.09+10000</f>
        <v>14023.09</v>
      </c>
      <c r="H475" s="73"/>
      <c r="I475" s="74">
        <f>F475+G475+H475</f>
        <v>16023.09</v>
      </c>
      <c r="J475" s="75"/>
      <c r="K475" s="73"/>
      <c r="L475" s="136">
        <f aca="true" t="shared" si="174" ref="L475:L480">I475+J475+K475</f>
        <v>16023.09</v>
      </c>
      <c r="M475" s="75">
        <f>482.53</f>
        <v>482.53</v>
      </c>
      <c r="N475" s="73"/>
      <c r="O475" s="74">
        <f aca="true" t="shared" si="175" ref="O475:O480">L475+M475+N475</f>
        <v>16505.62</v>
      </c>
      <c r="P475" s="187"/>
      <c r="Q475" s="171">
        <f aca="true" t="shared" si="176" ref="Q475:Q480">O475+P475</f>
        <v>16505.62</v>
      </c>
      <c r="R475" s="171">
        <v>10903.45</v>
      </c>
      <c r="S475" s="168">
        <f t="shared" si="165"/>
        <v>66.05901505063126</v>
      </c>
    </row>
    <row r="476" spans="1:19" ht="12.75">
      <c r="A476" s="17" t="s">
        <v>221</v>
      </c>
      <c r="B476" s="55"/>
      <c r="C476" s="75"/>
      <c r="D476" s="73"/>
      <c r="E476" s="73"/>
      <c r="F476" s="74"/>
      <c r="G476" s="75"/>
      <c r="H476" s="73">
        <f>2086</f>
        <v>2086</v>
      </c>
      <c r="I476" s="74">
        <f>F476+G476+H476</f>
        <v>2086</v>
      </c>
      <c r="J476" s="75"/>
      <c r="K476" s="73"/>
      <c r="L476" s="136">
        <f t="shared" si="174"/>
        <v>2086</v>
      </c>
      <c r="M476" s="75">
        <f>-354</f>
        <v>-354</v>
      </c>
      <c r="N476" s="73"/>
      <c r="O476" s="74">
        <f t="shared" si="175"/>
        <v>1732</v>
      </c>
      <c r="P476" s="187"/>
      <c r="Q476" s="171">
        <f t="shared" si="176"/>
        <v>1732</v>
      </c>
      <c r="R476" s="171">
        <v>1732</v>
      </c>
      <c r="S476" s="168">
        <f t="shared" si="165"/>
        <v>100</v>
      </c>
    </row>
    <row r="477" spans="1:19" ht="12.75">
      <c r="A477" s="17" t="s">
        <v>342</v>
      </c>
      <c r="B477" s="55"/>
      <c r="C477" s="75"/>
      <c r="D477" s="73"/>
      <c r="E477" s="73"/>
      <c r="F477" s="74"/>
      <c r="G477" s="75"/>
      <c r="H477" s="73">
        <f>99.7</f>
        <v>99.7</v>
      </c>
      <c r="I477" s="74">
        <f>F477+G477+H477</f>
        <v>99.7</v>
      </c>
      <c r="J477" s="75"/>
      <c r="K477" s="73"/>
      <c r="L477" s="136">
        <f t="shared" si="174"/>
        <v>99.7</v>
      </c>
      <c r="M477" s="75"/>
      <c r="N477" s="73"/>
      <c r="O477" s="74">
        <f t="shared" si="175"/>
        <v>99.7</v>
      </c>
      <c r="P477" s="187"/>
      <c r="Q477" s="171">
        <f t="shared" si="176"/>
        <v>99.7</v>
      </c>
      <c r="R477" s="171">
        <v>99.7</v>
      </c>
      <c r="S477" s="168">
        <f t="shared" si="165"/>
        <v>100</v>
      </c>
    </row>
    <row r="478" spans="1:19" ht="12.75">
      <c r="A478" s="17" t="s">
        <v>323</v>
      </c>
      <c r="B478" s="55"/>
      <c r="C478" s="75"/>
      <c r="D478" s="73"/>
      <c r="E478" s="73">
        <v>600</v>
      </c>
      <c r="F478" s="74">
        <f>C478+D478+E478</f>
        <v>600</v>
      </c>
      <c r="G478" s="75"/>
      <c r="H478" s="73"/>
      <c r="I478" s="74">
        <f>F478+G478+H478</f>
        <v>600</v>
      </c>
      <c r="J478" s="75"/>
      <c r="K478" s="73"/>
      <c r="L478" s="136">
        <f t="shared" si="174"/>
        <v>600</v>
      </c>
      <c r="M478" s="75"/>
      <c r="N478" s="73"/>
      <c r="O478" s="74">
        <f t="shared" si="175"/>
        <v>600</v>
      </c>
      <c r="P478" s="187"/>
      <c r="Q478" s="171">
        <f t="shared" si="176"/>
        <v>600</v>
      </c>
      <c r="R478" s="171">
        <v>599.43</v>
      </c>
      <c r="S478" s="168">
        <f t="shared" si="165"/>
        <v>99.90499999999999</v>
      </c>
    </row>
    <row r="479" spans="1:19" ht="12.75">
      <c r="A479" s="17" t="s">
        <v>362</v>
      </c>
      <c r="B479" s="55"/>
      <c r="C479" s="75"/>
      <c r="D479" s="73"/>
      <c r="E479" s="73"/>
      <c r="F479" s="74"/>
      <c r="G479" s="75"/>
      <c r="H479" s="73"/>
      <c r="I479" s="74"/>
      <c r="J479" s="75"/>
      <c r="K479" s="73"/>
      <c r="L479" s="136">
        <f t="shared" si="174"/>
        <v>0</v>
      </c>
      <c r="M479" s="75">
        <f>500+200+44.17+2000</f>
        <v>2744.17</v>
      </c>
      <c r="N479" s="73"/>
      <c r="O479" s="74">
        <f t="shared" si="175"/>
        <v>2744.17</v>
      </c>
      <c r="P479" s="187"/>
      <c r="Q479" s="171">
        <f t="shared" si="176"/>
        <v>2744.17</v>
      </c>
      <c r="R479" s="171">
        <v>2744.16</v>
      </c>
      <c r="S479" s="168">
        <f t="shared" si="165"/>
        <v>99.99963559108946</v>
      </c>
    </row>
    <row r="480" spans="1:19" ht="12.75">
      <c r="A480" s="16" t="s">
        <v>103</v>
      </c>
      <c r="B480" s="58"/>
      <c r="C480" s="160">
        <v>12000</v>
      </c>
      <c r="D480" s="84">
        <f>5000</f>
        <v>5000</v>
      </c>
      <c r="E480" s="84"/>
      <c r="F480" s="121">
        <f>C480+D480+E480</f>
        <v>17000</v>
      </c>
      <c r="G480" s="83">
        <f>-147.14</f>
        <v>-147.14</v>
      </c>
      <c r="H480" s="84"/>
      <c r="I480" s="121">
        <f>F480+G480+H480</f>
        <v>16852.86</v>
      </c>
      <c r="J480" s="83"/>
      <c r="K480" s="84"/>
      <c r="L480" s="150">
        <f t="shared" si="174"/>
        <v>16852.86</v>
      </c>
      <c r="M480" s="83">
        <f>-800.7-400</f>
        <v>-1200.7</v>
      </c>
      <c r="N480" s="84"/>
      <c r="O480" s="121">
        <f t="shared" si="175"/>
        <v>15652.16</v>
      </c>
      <c r="P480" s="195">
        <f>55.82</f>
        <v>55.82</v>
      </c>
      <c r="Q480" s="207">
        <f t="shared" si="176"/>
        <v>15707.98</v>
      </c>
      <c r="R480" s="207">
        <v>13332.49</v>
      </c>
      <c r="S480" s="215">
        <f t="shared" si="165"/>
        <v>84.87717707814754</v>
      </c>
    </row>
    <row r="481" spans="1:19" ht="12.75">
      <c r="A481" s="10" t="s">
        <v>180</v>
      </c>
      <c r="B481" s="59"/>
      <c r="C481" s="70">
        <f aca="true" t="shared" si="177" ref="C481:R481">C482</f>
        <v>0</v>
      </c>
      <c r="D481" s="71">
        <f t="shared" si="177"/>
        <v>0</v>
      </c>
      <c r="E481" s="71">
        <f t="shared" si="177"/>
        <v>0</v>
      </c>
      <c r="F481" s="72">
        <f t="shared" si="177"/>
        <v>0</v>
      </c>
      <c r="G481" s="70">
        <f t="shared" si="177"/>
        <v>0</v>
      </c>
      <c r="H481" s="71">
        <f t="shared" si="177"/>
        <v>7271.86</v>
      </c>
      <c r="I481" s="72">
        <f t="shared" si="177"/>
        <v>7271.86</v>
      </c>
      <c r="J481" s="70">
        <f t="shared" si="177"/>
        <v>0</v>
      </c>
      <c r="K481" s="71">
        <f t="shared" si="177"/>
        <v>0</v>
      </c>
      <c r="L481" s="138">
        <f t="shared" si="177"/>
        <v>7271.86</v>
      </c>
      <c r="M481" s="70">
        <f t="shared" si="177"/>
        <v>0</v>
      </c>
      <c r="N481" s="71">
        <f t="shared" si="177"/>
        <v>0</v>
      </c>
      <c r="O481" s="72">
        <f t="shared" si="177"/>
        <v>7271.86</v>
      </c>
      <c r="P481" s="188">
        <f t="shared" si="177"/>
        <v>0</v>
      </c>
      <c r="Q481" s="172">
        <f t="shared" si="177"/>
        <v>7271.86</v>
      </c>
      <c r="R481" s="172">
        <f t="shared" si="177"/>
        <v>2.7</v>
      </c>
      <c r="S481" s="165">
        <f t="shared" si="165"/>
        <v>0.03712942768425135</v>
      </c>
    </row>
    <row r="482" spans="1:19" ht="12.75">
      <c r="A482" s="19" t="s">
        <v>64</v>
      </c>
      <c r="B482" s="59"/>
      <c r="C482" s="80">
        <f aca="true" t="shared" si="178" ref="C482:O482">C484</f>
        <v>0</v>
      </c>
      <c r="D482" s="81">
        <f t="shared" si="178"/>
        <v>0</v>
      </c>
      <c r="E482" s="81">
        <f t="shared" si="178"/>
        <v>0</v>
      </c>
      <c r="F482" s="82">
        <f t="shared" si="178"/>
        <v>0</v>
      </c>
      <c r="G482" s="80">
        <f t="shared" si="178"/>
        <v>0</v>
      </c>
      <c r="H482" s="81">
        <f t="shared" si="178"/>
        <v>7271.86</v>
      </c>
      <c r="I482" s="82">
        <f t="shared" si="178"/>
        <v>7271.86</v>
      </c>
      <c r="J482" s="80">
        <f t="shared" si="178"/>
        <v>0</v>
      </c>
      <c r="K482" s="81">
        <f t="shared" si="178"/>
        <v>0</v>
      </c>
      <c r="L482" s="140">
        <f t="shared" si="178"/>
        <v>7271.86</v>
      </c>
      <c r="M482" s="80">
        <f t="shared" si="178"/>
        <v>0</v>
      </c>
      <c r="N482" s="81">
        <f t="shared" si="178"/>
        <v>0</v>
      </c>
      <c r="O482" s="82">
        <f t="shared" si="178"/>
        <v>7271.86</v>
      </c>
      <c r="P482" s="193">
        <f>P484</f>
        <v>0</v>
      </c>
      <c r="Q482" s="176">
        <f>Q484</f>
        <v>7271.86</v>
      </c>
      <c r="R482" s="176">
        <f>R484</f>
        <v>2.7</v>
      </c>
      <c r="S482" s="214">
        <f t="shared" si="165"/>
        <v>0.03712942768425135</v>
      </c>
    </row>
    <row r="483" spans="1:19" ht="12.75">
      <c r="A483" s="15" t="s">
        <v>35</v>
      </c>
      <c r="B483" s="55"/>
      <c r="C483" s="75"/>
      <c r="D483" s="73"/>
      <c r="E483" s="73"/>
      <c r="F483" s="74"/>
      <c r="G483" s="75"/>
      <c r="H483" s="73"/>
      <c r="I483" s="74"/>
      <c r="J483" s="75"/>
      <c r="K483" s="73"/>
      <c r="L483" s="136"/>
      <c r="M483" s="75"/>
      <c r="N483" s="73"/>
      <c r="O483" s="74"/>
      <c r="P483" s="187"/>
      <c r="Q483" s="171"/>
      <c r="R483" s="171"/>
      <c r="S483" s="168"/>
    </row>
    <row r="484" spans="1:19" ht="12.75">
      <c r="A484" s="16" t="s">
        <v>67</v>
      </c>
      <c r="B484" s="58"/>
      <c r="C484" s="83">
        <v>0</v>
      </c>
      <c r="D484" s="84"/>
      <c r="E484" s="84"/>
      <c r="F484" s="121">
        <f>C484+D484+E484</f>
        <v>0</v>
      </c>
      <c r="G484" s="83"/>
      <c r="H484" s="84">
        <v>7271.86</v>
      </c>
      <c r="I484" s="121">
        <f>F484+G484+H484</f>
        <v>7271.86</v>
      </c>
      <c r="J484" s="83"/>
      <c r="K484" s="84"/>
      <c r="L484" s="150">
        <f>I484+J484+K484</f>
        <v>7271.86</v>
      </c>
      <c r="M484" s="83"/>
      <c r="N484" s="84"/>
      <c r="O484" s="121">
        <f>L484+M484+N484</f>
        <v>7271.86</v>
      </c>
      <c r="P484" s="195"/>
      <c r="Q484" s="207">
        <f>O484+P484</f>
        <v>7271.86</v>
      </c>
      <c r="R484" s="207">
        <v>2.7</v>
      </c>
      <c r="S484" s="215">
        <f t="shared" si="165"/>
        <v>0.03712942768425135</v>
      </c>
    </row>
    <row r="485" spans="1:19" ht="12.75">
      <c r="A485" s="10" t="s">
        <v>131</v>
      </c>
      <c r="B485" s="59"/>
      <c r="C485" s="70">
        <f aca="true" t="shared" si="179" ref="C485:O485">C487+C488</f>
        <v>134120</v>
      </c>
      <c r="D485" s="90">
        <f t="shared" si="179"/>
        <v>240125.47999999998</v>
      </c>
      <c r="E485" s="90">
        <f t="shared" si="179"/>
        <v>-23922.55</v>
      </c>
      <c r="F485" s="91">
        <f t="shared" si="179"/>
        <v>350322.93</v>
      </c>
      <c r="G485" s="127">
        <f t="shared" si="179"/>
        <v>6388.530000000004</v>
      </c>
      <c r="H485" s="90">
        <f t="shared" si="179"/>
        <v>0</v>
      </c>
      <c r="I485" s="91">
        <f t="shared" si="179"/>
        <v>356711.45999999996</v>
      </c>
      <c r="J485" s="127">
        <f t="shared" si="179"/>
        <v>-15040</v>
      </c>
      <c r="K485" s="90">
        <f t="shared" si="179"/>
        <v>18700</v>
      </c>
      <c r="L485" s="143">
        <f t="shared" si="179"/>
        <v>360371.46</v>
      </c>
      <c r="M485" s="127">
        <f t="shared" si="179"/>
        <v>18535</v>
      </c>
      <c r="N485" s="90">
        <f t="shared" si="179"/>
        <v>23600</v>
      </c>
      <c r="O485" s="91">
        <f t="shared" si="179"/>
        <v>402506.46</v>
      </c>
      <c r="P485" s="198">
        <f>P487+P488</f>
        <v>2000</v>
      </c>
      <c r="Q485" s="209">
        <f>Q487+Q488</f>
        <v>404506.46</v>
      </c>
      <c r="R485" s="172">
        <f>R487+R488</f>
        <v>188611.82</v>
      </c>
      <c r="S485" s="165">
        <f t="shared" si="165"/>
        <v>46.62764100232169</v>
      </c>
    </row>
    <row r="486" spans="1:19" ht="12.75">
      <c r="A486" s="12" t="s">
        <v>35</v>
      </c>
      <c r="B486" s="55"/>
      <c r="C486" s="70"/>
      <c r="D486" s="71"/>
      <c r="E486" s="71"/>
      <c r="F486" s="72"/>
      <c r="G486" s="70"/>
      <c r="H486" s="71"/>
      <c r="I486" s="72"/>
      <c r="J486" s="70"/>
      <c r="K486" s="71"/>
      <c r="L486" s="138"/>
      <c r="M486" s="70"/>
      <c r="N486" s="71"/>
      <c r="O486" s="72"/>
      <c r="P486" s="188"/>
      <c r="Q486" s="172"/>
      <c r="R486" s="172"/>
      <c r="S486" s="165"/>
    </row>
    <row r="487" spans="1:19" ht="12.75">
      <c r="A487" s="10" t="s">
        <v>64</v>
      </c>
      <c r="B487" s="59"/>
      <c r="C487" s="119">
        <f>C502+C504+C516+C518+C523+C528+C519+C509+C530+C511+C534</f>
        <v>20750</v>
      </c>
      <c r="D487" s="77">
        <f aca="true" t="shared" si="180" ref="D487:N487">D502+D504+D516+D518+D523+D528+D519+D509+D530+D511+D534</f>
        <v>41027.04</v>
      </c>
      <c r="E487" s="77">
        <f t="shared" si="180"/>
        <v>5193.53</v>
      </c>
      <c r="F487" s="78">
        <f t="shared" si="180"/>
        <v>66970.57</v>
      </c>
      <c r="G487" s="76">
        <f t="shared" si="180"/>
        <v>-11347.539999999999</v>
      </c>
      <c r="H487" s="119">
        <f t="shared" si="180"/>
        <v>0</v>
      </c>
      <c r="I487" s="78">
        <f t="shared" si="180"/>
        <v>55623.03</v>
      </c>
      <c r="J487" s="76">
        <f t="shared" si="180"/>
        <v>1406.48</v>
      </c>
      <c r="K487" s="77">
        <f t="shared" si="180"/>
        <v>0</v>
      </c>
      <c r="L487" s="78">
        <f t="shared" si="180"/>
        <v>57029.509999999995</v>
      </c>
      <c r="M487" s="76">
        <f t="shared" si="180"/>
        <v>316</v>
      </c>
      <c r="N487" s="77">
        <f t="shared" si="180"/>
        <v>300</v>
      </c>
      <c r="O487" s="78">
        <f>O502+O504+O516+O518+O523+O528+O519+O509+O530+O511+O534</f>
        <v>57645.509999999995</v>
      </c>
      <c r="P487" s="199">
        <f>P502+P504+P516+P518+P523+P528+P519+P509+P530+P511+P534</f>
        <v>-95</v>
      </c>
      <c r="Q487" s="180">
        <f>Q502+Q504+Q516+Q518+Q523+Q528+Q519+Q509+Q530+Q511+Q534</f>
        <v>57550.509999999995</v>
      </c>
      <c r="R487" s="180">
        <f>R502+R504+R516+R518+R523+R528+R519+R509+R530+R511+R534</f>
        <v>31207.359999999997</v>
      </c>
      <c r="S487" s="165">
        <f t="shared" si="165"/>
        <v>54.226035529485316</v>
      </c>
    </row>
    <row r="488" spans="1:19" ht="12.75">
      <c r="A488" s="10" t="s">
        <v>70</v>
      </c>
      <c r="B488" s="59"/>
      <c r="C488" s="119">
        <f>C491+C492+C494+C495+C497+C499+C500+C501+C505+C506+C508+C510+C512+C514+C515+C517+C520+C522+C524+C525+C527+C529+C531+C533</f>
        <v>113370</v>
      </c>
      <c r="D488" s="77">
        <f aca="true" t="shared" si="181" ref="D488:N488">D491+D492+D494+D495+D497+D499+D500+D501+D505+D506+D508+D510+D512+D514+D515+D517+D520+D522+D524+D525+D527+D529+D531+D533</f>
        <v>199098.43999999997</v>
      </c>
      <c r="E488" s="77">
        <f t="shared" si="181"/>
        <v>-29116.079999999998</v>
      </c>
      <c r="F488" s="78">
        <f t="shared" si="181"/>
        <v>283352.36</v>
      </c>
      <c r="G488" s="76">
        <f t="shared" si="181"/>
        <v>17736.070000000003</v>
      </c>
      <c r="H488" s="119">
        <f t="shared" si="181"/>
        <v>0</v>
      </c>
      <c r="I488" s="78">
        <f t="shared" si="181"/>
        <v>301088.42999999993</v>
      </c>
      <c r="J488" s="76">
        <f t="shared" si="181"/>
        <v>-16446.48</v>
      </c>
      <c r="K488" s="77">
        <f t="shared" si="181"/>
        <v>18700</v>
      </c>
      <c r="L488" s="78">
        <f t="shared" si="181"/>
        <v>303341.95</v>
      </c>
      <c r="M488" s="76">
        <f t="shared" si="181"/>
        <v>18219</v>
      </c>
      <c r="N488" s="77">
        <f t="shared" si="181"/>
        <v>23300</v>
      </c>
      <c r="O488" s="78">
        <f>O491+O492+O494+O495+O497+O499+O500+O501+O505+O506+O508+O510+O512+O514+O515+O517+O520+O522+O524+O525+O527+O529+O531+O533</f>
        <v>344860.95</v>
      </c>
      <c r="P488" s="199">
        <f>P491+P492+P494+P495+P497+P499+P500+P501+P505+P506+P508+P510+P512+P514+P515+P517+P520+P522+P524+P525+P527+P529+P531+P533</f>
        <v>2095</v>
      </c>
      <c r="Q488" s="180">
        <f>Q491+Q492+Q494+Q495+Q497+Q499+Q500+Q501+Q505+Q506+Q508+Q510+Q512+Q514+Q515+Q517+Q520+Q522+Q524+Q525+Q527+Q529+Q531+Q533</f>
        <v>346955.95</v>
      </c>
      <c r="R488" s="180">
        <f>R491+R492+R494+R495+R497+R499+R500+R501+R505+R506+R508+R510+R512+R514+R515+R517+R520+R522+R524+R525+R527+R529+R531+R533</f>
        <v>157404.46000000002</v>
      </c>
      <c r="S488" s="165">
        <f t="shared" si="165"/>
        <v>45.36727500998326</v>
      </c>
    </row>
    <row r="489" spans="1:19" ht="12.75">
      <c r="A489" s="11" t="s">
        <v>132</v>
      </c>
      <c r="B489" s="55"/>
      <c r="C489" s="70"/>
      <c r="D489" s="71"/>
      <c r="E489" s="71"/>
      <c r="F489" s="72"/>
      <c r="G489" s="70"/>
      <c r="H489" s="71"/>
      <c r="I489" s="72"/>
      <c r="J489" s="70"/>
      <c r="K489" s="71"/>
      <c r="L489" s="138"/>
      <c r="M489" s="70"/>
      <c r="N489" s="71"/>
      <c r="O489" s="72"/>
      <c r="P489" s="187"/>
      <c r="Q489" s="171"/>
      <c r="R489" s="171"/>
      <c r="S489" s="168"/>
    </row>
    <row r="490" spans="1:19" ht="12.75" hidden="1">
      <c r="A490" s="12" t="s">
        <v>133</v>
      </c>
      <c r="B490" s="55"/>
      <c r="C490" s="75">
        <f aca="true" t="shared" si="182" ref="C490:I490">C491+C492</f>
        <v>0</v>
      </c>
      <c r="D490" s="73">
        <f t="shared" si="182"/>
        <v>0</v>
      </c>
      <c r="E490" s="73">
        <f t="shared" si="182"/>
        <v>0</v>
      </c>
      <c r="F490" s="74">
        <f t="shared" si="182"/>
        <v>0</v>
      </c>
      <c r="G490" s="75">
        <f t="shared" si="182"/>
        <v>0</v>
      </c>
      <c r="H490" s="73">
        <f t="shared" si="182"/>
        <v>0</v>
      </c>
      <c r="I490" s="74">
        <f t="shared" si="182"/>
        <v>0</v>
      </c>
      <c r="J490" s="75"/>
      <c r="K490" s="73"/>
      <c r="L490" s="136">
        <f>L491+L492</f>
        <v>0</v>
      </c>
      <c r="M490" s="75"/>
      <c r="N490" s="73"/>
      <c r="O490" s="74">
        <f>O491+O492</f>
        <v>0</v>
      </c>
      <c r="P490" s="190"/>
      <c r="Q490" s="174">
        <f>Q491+Q492</f>
        <v>0</v>
      </c>
      <c r="R490" s="174"/>
      <c r="S490" s="168" t="e">
        <f t="shared" si="165"/>
        <v>#DIV/0!</v>
      </c>
    </row>
    <row r="491" spans="1:19" ht="12.75" hidden="1">
      <c r="A491" s="12" t="s">
        <v>134</v>
      </c>
      <c r="B491" s="55"/>
      <c r="C491" s="75"/>
      <c r="D491" s="73"/>
      <c r="E491" s="73"/>
      <c r="F491" s="74">
        <f aca="true" t="shared" si="183" ref="F491:F535">C491+D491+E491</f>
        <v>0</v>
      </c>
      <c r="G491" s="75"/>
      <c r="H491" s="71"/>
      <c r="I491" s="74">
        <f>F491+G491+H491</f>
        <v>0</v>
      </c>
      <c r="J491" s="75"/>
      <c r="K491" s="71"/>
      <c r="L491" s="136">
        <f>I491+J491+K491</f>
        <v>0</v>
      </c>
      <c r="M491" s="75"/>
      <c r="N491" s="71"/>
      <c r="O491" s="74">
        <f>L491+M491+N491</f>
        <v>0</v>
      </c>
      <c r="P491" s="187"/>
      <c r="Q491" s="171">
        <f>O491+P491</f>
        <v>0</v>
      </c>
      <c r="R491" s="171"/>
      <c r="S491" s="168" t="e">
        <f t="shared" si="165"/>
        <v>#DIV/0!</v>
      </c>
    </row>
    <row r="492" spans="1:19" ht="12.75" hidden="1">
      <c r="A492" s="12" t="s">
        <v>135</v>
      </c>
      <c r="B492" s="55"/>
      <c r="C492" s="75">
        <v>0</v>
      </c>
      <c r="D492" s="73"/>
      <c r="E492" s="73"/>
      <c r="F492" s="74">
        <f t="shared" si="183"/>
        <v>0</v>
      </c>
      <c r="G492" s="75"/>
      <c r="H492" s="71"/>
      <c r="I492" s="74">
        <f>F492+G492+H492</f>
        <v>0</v>
      </c>
      <c r="J492" s="75"/>
      <c r="K492" s="71"/>
      <c r="L492" s="136">
        <f>I492+J492+K492</f>
        <v>0</v>
      </c>
      <c r="M492" s="75"/>
      <c r="N492" s="71"/>
      <c r="O492" s="74">
        <f>L492+M492+N492</f>
        <v>0</v>
      </c>
      <c r="P492" s="187"/>
      <c r="Q492" s="171">
        <f>O492+P492</f>
        <v>0</v>
      </c>
      <c r="R492" s="171"/>
      <c r="S492" s="168" t="e">
        <f t="shared" si="165"/>
        <v>#DIV/0!</v>
      </c>
    </row>
    <row r="493" spans="1:19" ht="12.75">
      <c r="A493" s="12" t="s">
        <v>136</v>
      </c>
      <c r="B493" s="55"/>
      <c r="C493" s="75">
        <f aca="true" t="shared" si="184" ref="C493:Q493">C494+C495</f>
        <v>3000</v>
      </c>
      <c r="D493" s="73">
        <f t="shared" si="184"/>
        <v>7155.4</v>
      </c>
      <c r="E493" s="73">
        <f t="shared" si="184"/>
        <v>0</v>
      </c>
      <c r="F493" s="74">
        <f t="shared" si="184"/>
        <v>10155.4</v>
      </c>
      <c r="G493" s="75">
        <f t="shared" si="184"/>
        <v>220</v>
      </c>
      <c r="H493" s="73">
        <f t="shared" si="184"/>
        <v>0</v>
      </c>
      <c r="I493" s="74">
        <f t="shared" si="184"/>
        <v>10375.4</v>
      </c>
      <c r="J493" s="75">
        <f t="shared" si="184"/>
        <v>0</v>
      </c>
      <c r="K493" s="73">
        <f t="shared" si="184"/>
        <v>0</v>
      </c>
      <c r="L493" s="136">
        <f t="shared" si="184"/>
        <v>10375.4</v>
      </c>
      <c r="M493" s="75">
        <f t="shared" si="184"/>
        <v>500</v>
      </c>
      <c r="N493" s="73">
        <f t="shared" si="184"/>
        <v>0</v>
      </c>
      <c r="O493" s="74">
        <f t="shared" si="184"/>
        <v>10875.4</v>
      </c>
      <c r="P493" s="200">
        <f t="shared" si="184"/>
        <v>0</v>
      </c>
      <c r="Q493" s="181">
        <f t="shared" si="184"/>
        <v>10875.4</v>
      </c>
      <c r="R493" s="181">
        <f>R494+R495</f>
        <v>9028.23</v>
      </c>
      <c r="S493" s="168">
        <f t="shared" si="165"/>
        <v>83.01515346561965</v>
      </c>
    </row>
    <row r="494" spans="1:19" ht="12.75">
      <c r="A494" s="12" t="s">
        <v>134</v>
      </c>
      <c r="B494" s="55"/>
      <c r="C494" s="75">
        <v>3000</v>
      </c>
      <c r="D494" s="73">
        <f>811+4000+2000+320</f>
        <v>7131</v>
      </c>
      <c r="E494" s="73"/>
      <c r="F494" s="74">
        <f t="shared" si="183"/>
        <v>10131</v>
      </c>
      <c r="G494" s="75">
        <v>220</v>
      </c>
      <c r="H494" s="71"/>
      <c r="I494" s="74">
        <f>F494+G494+H494</f>
        <v>10351</v>
      </c>
      <c r="J494" s="75"/>
      <c r="K494" s="71"/>
      <c r="L494" s="136">
        <f>I494+J494+K494</f>
        <v>10351</v>
      </c>
      <c r="M494" s="75">
        <f>500</f>
        <v>500</v>
      </c>
      <c r="N494" s="71"/>
      <c r="O494" s="74">
        <f>L494+M494+N494</f>
        <v>10851</v>
      </c>
      <c r="P494" s="187"/>
      <c r="Q494" s="171">
        <f>O494+P494</f>
        <v>10851</v>
      </c>
      <c r="R494" s="171">
        <v>9028.23</v>
      </c>
      <c r="S494" s="168">
        <f t="shared" si="165"/>
        <v>83.20182471661597</v>
      </c>
    </row>
    <row r="495" spans="1:19" ht="12.75">
      <c r="A495" s="12" t="s">
        <v>135</v>
      </c>
      <c r="B495" s="55"/>
      <c r="C495" s="75"/>
      <c r="D495" s="73">
        <f>24.4</f>
        <v>24.4</v>
      </c>
      <c r="E495" s="73"/>
      <c r="F495" s="74">
        <f t="shared" si="183"/>
        <v>24.4</v>
      </c>
      <c r="G495" s="75"/>
      <c r="H495" s="71"/>
      <c r="I495" s="74">
        <f>F495+G495+H495</f>
        <v>24.4</v>
      </c>
      <c r="J495" s="75"/>
      <c r="K495" s="71"/>
      <c r="L495" s="136">
        <f>I495+J495+K495</f>
        <v>24.4</v>
      </c>
      <c r="M495" s="75"/>
      <c r="N495" s="71"/>
      <c r="O495" s="74">
        <f>L495+M495+N495</f>
        <v>24.4</v>
      </c>
      <c r="P495" s="187"/>
      <c r="Q495" s="171">
        <f>O495+P495</f>
        <v>24.4</v>
      </c>
      <c r="R495" s="171">
        <v>0</v>
      </c>
      <c r="S495" s="168">
        <f t="shared" si="165"/>
        <v>0</v>
      </c>
    </row>
    <row r="496" spans="1:19" ht="12.75" hidden="1">
      <c r="A496" s="13" t="s">
        <v>221</v>
      </c>
      <c r="B496" s="55"/>
      <c r="C496" s="75">
        <f aca="true" t="shared" si="185" ref="C496:I496">C497</f>
        <v>0</v>
      </c>
      <c r="D496" s="73">
        <f t="shared" si="185"/>
        <v>0</v>
      </c>
      <c r="E496" s="73">
        <f t="shared" si="185"/>
        <v>0</v>
      </c>
      <c r="F496" s="74">
        <f t="shared" si="185"/>
        <v>0</v>
      </c>
      <c r="G496" s="75">
        <f t="shared" si="185"/>
        <v>0</v>
      </c>
      <c r="H496" s="73">
        <f t="shared" si="185"/>
        <v>0</v>
      </c>
      <c r="I496" s="74">
        <f t="shared" si="185"/>
        <v>0</v>
      </c>
      <c r="J496" s="75"/>
      <c r="K496" s="71"/>
      <c r="L496" s="136"/>
      <c r="M496" s="75"/>
      <c r="N496" s="71"/>
      <c r="O496" s="74"/>
      <c r="P496" s="187"/>
      <c r="Q496" s="171"/>
      <c r="R496" s="171"/>
      <c r="S496" s="168" t="e">
        <f t="shared" si="165"/>
        <v>#DIV/0!</v>
      </c>
    </row>
    <row r="497" spans="1:19" ht="12.75" hidden="1">
      <c r="A497" s="13" t="s">
        <v>222</v>
      </c>
      <c r="B497" s="55"/>
      <c r="C497" s="75"/>
      <c r="D497" s="73"/>
      <c r="E497" s="73"/>
      <c r="F497" s="74">
        <f t="shared" si="183"/>
        <v>0</v>
      </c>
      <c r="G497" s="75"/>
      <c r="H497" s="71"/>
      <c r="I497" s="74">
        <f>F497+G497+H497</f>
        <v>0</v>
      </c>
      <c r="J497" s="75"/>
      <c r="K497" s="71"/>
      <c r="L497" s="136"/>
      <c r="M497" s="75"/>
      <c r="N497" s="71"/>
      <c r="O497" s="74"/>
      <c r="P497" s="187"/>
      <c r="Q497" s="171"/>
      <c r="R497" s="171"/>
      <c r="S497" s="168" t="e">
        <f t="shared" si="165"/>
        <v>#DIV/0!</v>
      </c>
    </row>
    <row r="498" spans="1:19" ht="12.75">
      <c r="A498" s="12" t="s">
        <v>137</v>
      </c>
      <c r="B498" s="55"/>
      <c r="C498" s="75">
        <f aca="true" t="shared" si="186" ref="C498:Q498">SUM(C499:C502)</f>
        <v>24000</v>
      </c>
      <c r="D498" s="73">
        <f t="shared" si="186"/>
        <v>36894.27</v>
      </c>
      <c r="E498" s="73">
        <f t="shared" si="186"/>
        <v>0</v>
      </c>
      <c r="F498" s="74">
        <f t="shared" si="186"/>
        <v>60894.27</v>
      </c>
      <c r="G498" s="75">
        <f t="shared" si="186"/>
        <v>199.86</v>
      </c>
      <c r="H498" s="73">
        <f t="shared" si="186"/>
        <v>0</v>
      </c>
      <c r="I498" s="74">
        <f t="shared" si="186"/>
        <v>61094.13</v>
      </c>
      <c r="J498" s="75">
        <f t="shared" si="186"/>
        <v>-4000</v>
      </c>
      <c r="K498" s="73">
        <f t="shared" si="186"/>
        <v>0</v>
      </c>
      <c r="L498" s="136">
        <f t="shared" si="186"/>
        <v>57094.13</v>
      </c>
      <c r="M498" s="75">
        <f t="shared" si="186"/>
        <v>12645</v>
      </c>
      <c r="N498" s="73">
        <f t="shared" si="186"/>
        <v>0</v>
      </c>
      <c r="O498" s="74">
        <f t="shared" si="186"/>
        <v>69739.13</v>
      </c>
      <c r="P498" s="200">
        <f t="shared" si="186"/>
        <v>0</v>
      </c>
      <c r="Q498" s="181">
        <f t="shared" si="186"/>
        <v>69739.13</v>
      </c>
      <c r="R498" s="181">
        <f>SUM(R499:R502)</f>
        <v>31385.329999999998</v>
      </c>
      <c r="S498" s="168">
        <f t="shared" si="165"/>
        <v>45.0039024002737</v>
      </c>
    </row>
    <row r="499" spans="1:19" ht="12.75">
      <c r="A499" s="12" t="s">
        <v>138</v>
      </c>
      <c r="B499" s="55"/>
      <c r="C499" s="75">
        <v>15000</v>
      </c>
      <c r="D499" s="73">
        <f>-5000-10000</f>
        <v>-15000</v>
      </c>
      <c r="E499" s="73"/>
      <c r="F499" s="74">
        <f t="shared" si="183"/>
        <v>0</v>
      </c>
      <c r="G499" s="75"/>
      <c r="H499" s="73"/>
      <c r="I499" s="74">
        <f>F499+G499+H499</f>
        <v>0</v>
      </c>
      <c r="J499" s="75"/>
      <c r="K499" s="73"/>
      <c r="L499" s="136">
        <f>I499+J499+K499</f>
        <v>0</v>
      </c>
      <c r="M499" s="75"/>
      <c r="N499" s="73"/>
      <c r="O499" s="74">
        <f>L499+M499+N499</f>
        <v>0</v>
      </c>
      <c r="P499" s="187"/>
      <c r="Q499" s="171">
        <f>O499+P499</f>
        <v>0</v>
      </c>
      <c r="R499" s="171">
        <v>0</v>
      </c>
      <c r="S499" s="169" t="s">
        <v>384</v>
      </c>
    </row>
    <row r="500" spans="1:19" ht="12.75">
      <c r="A500" s="12" t="s">
        <v>139</v>
      </c>
      <c r="B500" s="55"/>
      <c r="C500" s="75">
        <v>9000</v>
      </c>
      <c r="D500" s="88">
        <f>36114.6+4000+10000</f>
        <v>50114.6</v>
      </c>
      <c r="E500" s="88"/>
      <c r="F500" s="74">
        <f t="shared" si="183"/>
        <v>59114.6</v>
      </c>
      <c r="G500" s="75"/>
      <c r="H500" s="73"/>
      <c r="I500" s="74">
        <f>F500+G500+H500</f>
        <v>59114.6</v>
      </c>
      <c r="J500" s="75">
        <f>-4000</f>
        <v>-4000</v>
      </c>
      <c r="K500" s="73"/>
      <c r="L500" s="136">
        <f>I500+J500+K500</f>
        <v>55114.6</v>
      </c>
      <c r="M500" s="75">
        <f>12645</f>
        <v>12645</v>
      </c>
      <c r="N500" s="73"/>
      <c r="O500" s="74">
        <f>L500+M500+N500</f>
        <v>67759.6</v>
      </c>
      <c r="P500" s="187"/>
      <c r="Q500" s="171">
        <f>O500+P500</f>
        <v>67759.6</v>
      </c>
      <c r="R500" s="171">
        <v>31096.16</v>
      </c>
      <c r="S500" s="168">
        <f t="shared" si="165"/>
        <v>45.89188838186766</v>
      </c>
    </row>
    <row r="501" spans="1:19" ht="12.75">
      <c r="A501" s="12" t="s">
        <v>135</v>
      </c>
      <c r="B501" s="55"/>
      <c r="C501" s="75"/>
      <c r="D501" s="73">
        <f>1037.9+44.17</f>
        <v>1082.0700000000002</v>
      </c>
      <c r="E501" s="73"/>
      <c r="F501" s="74">
        <f t="shared" si="183"/>
        <v>1082.0700000000002</v>
      </c>
      <c r="G501" s="75">
        <v>199.86</v>
      </c>
      <c r="H501" s="73"/>
      <c r="I501" s="74">
        <f>F501+G501+H501</f>
        <v>1281.9300000000003</v>
      </c>
      <c r="J501" s="75"/>
      <c r="K501" s="73"/>
      <c r="L501" s="136">
        <f>I501+J501+K501</f>
        <v>1281.9300000000003</v>
      </c>
      <c r="M501" s="75"/>
      <c r="N501" s="73"/>
      <c r="O501" s="74">
        <f>L501+M501+N501</f>
        <v>1281.9300000000003</v>
      </c>
      <c r="P501" s="187"/>
      <c r="Q501" s="171">
        <f>O501+P501</f>
        <v>1281.9300000000003</v>
      </c>
      <c r="R501" s="171">
        <v>0</v>
      </c>
      <c r="S501" s="168">
        <f t="shared" si="165"/>
        <v>0</v>
      </c>
    </row>
    <row r="502" spans="1:19" ht="12.75">
      <c r="A502" s="13" t="s">
        <v>168</v>
      </c>
      <c r="B502" s="55"/>
      <c r="C502" s="75"/>
      <c r="D502" s="73">
        <f>697.6</f>
        <v>697.6</v>
      </c>
      <c r="E502" s="73"/>
      <c r="F502" s="74">
        <f t="shared" si="183"/>
        <v>697.6</v>
      </c>
      <c r="G502" s="75"/>
      <c r="H502" s="73"/>
      <c r="I502" s="74">
        <f>F502+G502+H502</f>
        <v>697.6</v>
      </c>
      <c r="J502" s="75"/>
      <c r="K502" s="73"/>
      <c r="L502" s="136">
        <f>I502+J502+K502</f>
        <v>697.6</v>
      </c>
      <c r="M502" s="75"/>
      <c r="N502" s="73"/>
      <c r="O502" s="74">
        <f>L502+M502+N502</f>
        <v>697.6</v>
      </c>
      <c r="P502" s="187"/>
      <c r="Q502" s="171">
        <f>O502+P502</f>
        <v>697.6</v>
      </c>
      <c r="R502" s="171">
        <v>289.17</v>
      </c>
      <c r="S502" s="168">
        <f t="shared" si="165"/>
        <v>41.45212155963303</v>
      </c>
    </row>
    <row r="503" spans="1:19" ht="12.75">
      <c r="A503" s="12" t="s">
        <v>140</v>
      </c>
      <c r="B503" s="55"/>
      <c r="C503" s="75">
        <f aca="true" t="shared" si="187" ref="C503:Q503">C504+C505+C506</f>
        <v>2120</v>
      </c>
      <c r="D503" s="73">
        <f t="shared" si="187"/>
        <v>16558</v>
      </c>
      <c r="E503" s="73">
        <f>E504+E505+E506</f>
        <v>0</v>
      </c>
      <c r="F503" s="74">
        <f t="shared" si="187"/>
        <v>18678</v>
      </c>
      <c r="G503" s="75">
        <f t="shared" si="187"/>
        <v>418.09</v>
      </c>
      <c r="H503" s="73">
        <f t="shared" si="187"/>
        <v>0</v>
      </c>
      <c r="I503" s="74">
        <f t="shared" si="187"/>
        <v>19096.09</v>
      </c>
      <c r="J503" s="75">
        <f t="shared" si="187"/>
        <v>2000.0000000000002</v>
      </c>
      <c r="K503" s="73">
        <f t="shared" si="187"/>
        <v>0</v>
      </c>
      <c r="L503" s="136">
        <f t="shared" si="187"/>
        <v>21096.09</v>
      </c>
      <c r="M503" s="75">
        <f t="shared" si="187"/>
        <v>3000</v>
      </c>
      <c r="N503" s="73">
        <f t="shared" si="187"/>
        <v>0</v>
      </c>
      <c r="O503" s="74">
        <f t="shared" si="187"/>
        <v>24096.09</v>
      </c>
      <c r="P503" s="200">
        <f t="shared" si="187"/>
        <v>2000</v>
      </c>
      <c r="Q503" s="181">
        <f t="shared" si="187"/>
        <v>26096.09</v>
      </c>
      <c r="R503" s="181">
        <f>R504+R505+R506</f>
        <v>10499.2</v>
      </c>
      <c r="S503" s="168">
        <f t="shared" si="165"/>
        <v>40.23284714300112</v>
      </c>
    </row>
    <row r="504" spans="1:19" ht="12.75">
      <c r="A504" s="12" t="s">
        <v>141</v>
      </c>
      <c r="B504" s="55"/>
      <c r="C504" s="75">
        <v>1560</v>
      </c>
      <c r="D504" s="73">
        <f>15000+417-88</f>
        <v>15329</v>
      </c>
      <c r="E504" s="73"/>
      <c r="F504" s="74">
        <f t="shared" si="183"/>
        <v>16889</v>
      </c>
      <c r="G504" s="75">
        <v>-16150</v>
      </c>
      <c r="H504" s="73"/>
      <c r="I504" s="74">
        <f>F504+G504+H504</f>
        <v>739</v>
      </c>
      <c r="J504" s="75">
        <f>418.09</f>
        <v>418.09</v>
      </c>
      <c r="K504" s="73"/>
      <c r="L504" s="136">
        <f>I504+J504+K504</f>
        <v>1157.09</v>
      </c>
      <c r="M504" s="75"/>
      <c r="N504" s="73"/>
      <c r="O504" s="74">
        <f>L504+M504+N504</f>
        <v>1157.09</v>
      </c>
      <c r="P504" s="187"/>
      <c r="Q504" s="171">
        <f>O504+P504</f>
        <v>1157.09</v>
      </c>
      <c r="R504" s="171">
        <v>757.43</v>
      </c>
      <c r="S504" s="168">
        <f t="shared" si="165"/>
        <v>65.45990372399727</v>
      </c>
    </row>
    <row r="505" spans="1:19" ht="12.75">
      <c r="A505" s="12" t="s">
        <v>139</v>
      </c>
      <c r="B505" s="55"/>
      <c r="C505" s="75">
        <v>560</v>
      </c>
      <c r="D505" s="73">
        <f>1141+88</f>
        <v>1229</v>
      </c>
      <c r="E505" s="73"/>
      <c r="F505" s="74">
        <f t="shared" si="183"/>
        <v>1789</v>
      </c>
      <c r="G505" s="75">
        <v>16150</v>
      </c>
      <c r="H505" s="73"/>
      <c r="I505" s="74">
        <f>F505+G505+H505</f>
        <v>17939</v>
      </c>
      <c r="J505" s="75">
        <f>2000</f>
        <v>2000</v>
      </c>
      <c r="K505" s="73"/>
      <c r="L505" s="136">
        <f>I505+J505+K505</f>
        <v>19939</v>
      </c>
      <c r="M505" s="75">
        <f>1000+2000</f>
        <v>3000</v>
      </c>
      <c r="N505" s="73"/>
      <c r="O505" s="74">
        <f>L505+M505+N505</f>
        <v>22939</v>
      </c>
      <c r="P505" s="187">
        <f>2000</f>
        <v>2000</v>
      </c>
      <c r="Q505" s="171">
        <f>O505+P505</f>
        <v>24939</v>
      </c>
      <c r="R505" s="171">
        <v>9741.77</v>
      </c>
      <c r="S505" s="168">
        <f t="shared" si="165"/>
        <v>39.062392237058425</v>
      </c>
    </row>
    <row r="506" spans="1:19" ht="12.75" customHeight="1" hidden="1">
      <c r="A506" s="12" t="s">
        <v>135</v>
      </c>
      <c r="B506" s="55"/>
      <c r="C506" s="75"/>
      <c r="D506" s="73"/>
      <c r="E506" s="73"/>
      <c r="F506" s="74">
        <f t="shared" si="183"/>
        <v>0</v>
      </c>
      <c r="G506" s="75">
        <f>418.09</f>
        <v>418.09</v>
      </c>
      <c r="H506" s="73"/>
      <c r="I506" s="74">
        <f>F506+G506+H506</f>
        <v>418.09</v>
      </c>
      <c r="J506" s="75">
        <f>-418.09</f>
        <v>-418.09</v>
      </c>
      <c r="K506" s="73"/>
      <c r="L506" s="136">
        <f>I506+J506+K506</f>
        <v>0</v>
      </c>
      <c r="M506" s="75"/>
      <c r="N506" s="73"/>
      <c r="O506" s="74">
        <f>L506+M506+N506</f>
        <v>0</v>
      </c>
      <c r="P506" s="187"/>
      <c r="Q506" s="171">
        <f>O506+P506</f>
        <v>0</v>
      </c>
      <c r="R506" s="171"/>
      <c r="S506" s="168" t="e">
        <f t="shared" si="165"/>
        <v>#DIV/0!</v>
      </c>
    </row>
    <row r="507" spans="1:19" ht="12.75">
      <c r="A507" s="12" t="s">
        <v>142</v>
      </c>
      <c r="B507" s="55"/>
      <c r="C507" s="75">
        <f aca="true" t="shared" si="188" ref="C507:Q507">SUM(C508:C512)</f>
        <v>32000</v>
      </c>
      <c r="D507" s="73">
        <f t="shared" si="188"/>
        <v>44696</v>
      </c>
      <c r="E507" s="73">
        <f t="shared" si="188"/>
        <v>1425</v>
      </c>
      <c r="F507" s="74">
        <f t="shared" si="188"/>
        <v>78121</v>
      </c>
      <c r="G507" s="75">
        <f t="shared" si="188"/>
        <v>-939.93</v>
      </c>
      <c r="H507" s="73">
        <f t="shared" si="188"/>
        <v>0</v>
      </c>
      <c r="I507" s="74">
        <f t="shared" si="188"/>
        <v>77181.07</v>
      </c>
      <c r="J507" s="75">
        <f t="shared" si="188"/>
        <v>5546</v>
      </c>
      <c r="K507" s="73">
        <f t="shared" si="188"/>
        <v>0</v>
      </c>
      <c r="L507" s="136">
        <f t="shared" si="188"/>
        <v>82727.07</v>
      </c>
      <c r="M507" s="75">
        <f t="shared" si="188"/>
        <v>1650</v>
      </c>
      <c r="N507" s="73">
        <f t="shared" si="188"/>
        <v>0</v>
      </c>
      <c r="O507" s="74">
        <f t="shared" si="188"/>
        <v>84377.07</v>
      </c>
      <c r="P507" s="200">
        <f t="shared" si="188"/>
        <v>0</v>
      </c>
      <c r="Q507" s="181">
        <f t="shared" si="188"/>
        <v>84377.07</v>
      </c>
      <c r="R507" s="181">
        <f>SUM(R508:R512)</f>
        <v>69080.43</v>
      </c>
      <c r="S507" s="168">
        <f t="shared" si="165"/>
        <v>81.87109365139129</v>
      </c>
    </row>
    <row r="508" spans="1:19" ht="12.75">
      <c r="A508" s="12" t="s">
        <v>143</v>
      </c>
      <c r="B508" s="55"/>
      <c r="C508" s="75">
        <v>22700</v>
      </c>
      <c r="D508" s="88">
        <f>7599+23000</f>
        <v>30599</v>
      </c>
      <c r="E508" s="88">
        <v>1390</v>
      </c>
      <c r="F508" s="74">
        <f t="shared" si="183"/>
        <v>54689</v>
      </c>
      <c r="G508" s="75">
        <f>-5511.3+1400</f>
        <v>-4111.3</v>
      </c>
      <c r="H508" s="73"/>
      <c r="I508" s="74">
        <f>F508+G508+H508</f>
        <v>50577.7</v>
      </c>
      <c r="J508" s="75">
        <f>-300+50+546+250</f>
        <v>546</v>
      </c>
      <c r="K508" s="73"/>
      <c r="L508" s="136">
        <f>I508+J508+K508</f>
        <v>51123.7</v>
      </c>
      <c r="M508" s="75">
        <f>1650-316</f>
        <v>1334</v>
      </c>
      <c r="N508" s="73"/>
      <c r="O508" s="74">
        <f>L508+M508+N508</f>
        <v>52457.7</v>
      </c>
      <c r="P508" s="187"/>
      <c r="Q508" s="171">
        <f aca="true" t="shared" si="189" ref="Q508:Q550">O508+P508</f>
        <v>52457.7</v>
      </c>
      <c r="R508" s="171">
        <v>47774.44</v>
      </c>
      <c r="S508" s="168">
        <f t="shared" si="165"/>
        <v>91.07231159581912</v>
      </c>
    </row>
    <row r="509" spans="1:19" ht="12.75">
      <c r="A509" s="12" t="s">
        <v>144</v>
      </c>
      <c r="B509" s="55"/>
      <c r="C509" s="75">
        <v>6000</v>
      </c>
      <c r="D509" s="73">
        <f>1595+200+10500</f>
        <v>12295</v>
      </c>
      <c r="E509" s="73">
        <v>35</v>
      </c>
      <c r="F509" s="74">
        <f t="shared" si="183"/>
        <v>18330</v>
      </c>
      <c r="G509" s="75">
        <f>2661.3+500</f>
        <v>3161.3</v>
      </c>
      <c r="H509" s="73"/>
      <c r="I509" s="74">
        <f>F509+G509+H509</f>
        <v>21491.3</v>
      </c>
      <c r="J509" s="75">
        <f>300-50-250</f>
        <v>0</v>
      </c>
      <c r="K509" s="73"/>
      <c r="L509" s="136">
        <f>I509+J509+K509</f>
        <v>21491.3</v>
      </c>
      <c r="M509" s="75">
        <f>316</f>
        <v>316</v>
      </c>
      <c r="N509" s="73"/>
      <c r="O509" s="74">
        <f>L509+M509+N509</f>
        <v>21807.3</v>
      </c>
      <c r="P509" s="187"/>
      <c r="Q509" s="171">
        <f t="shared" si="189"/>
        <v>21807.3</v>
      </c>
      <c r="R509" s="171">
        <v>18034.51</v>
      </c>
      <c r="S509" s="168">
        <f t="shared" si="165"/>
        <v>82.69941716764569</v>
      </c>
    </row>
    <row r="510" spans="1:19" ht="13.5" customHeight="1">
      <c r="A510" s="12" t="s">
        <v>145</v>
      </c>
      <c r="B510" s="55"/>
      <c r="C510" s="75"/>
      <c r="D510" s="73"/>
      <c r="E510" s="73"/>
      <c r="F510" s="74">
        <f t="shared" si="183"/>
        <v>0</v>
      </c>
      <c r="G510" s="75"/>
      <c r="H510" s="73"/>
      <c r="I510" s="74">
        <f>F510+G510+H510</f>
        <v>0</v>
      </c>
      <c r="J510" s="75">
        <v>5000</v>
      </c>
      <c r="K510" s="73"/>
      <c r="L510" s="136">
        <f>I510+J510+K510</f>
        <v>5000</v>
      </c>
      <c r="M510" s="75"/>
      <c r="N510" s="73"/>
      <c r="O510" s="74">
        <f>L510+M510+N510</f>
        <v>5000</v>
      </c>
      <c r="P510" s="187"/>
      <c r="Q510" s="171">
        <f t="shared" si="189"/>
        <v>5000</v>
      </c>
      <c r="R510" s="171">
        <v>0</v>
      </c>
      <c r="S510" s="168">
        <f t="shared" si="165"/>
        <v>0</v>
      </c>
    </row>
    <row r="511" spans="1:19" ht="13.5" customHeight="1">
      <c r="A511" s="13" t="s">
        <v>168</v>
      </c>
      <c r="B511" s="55"/>
      <c r="C511" s="75">
        <v>3300</v>
      </c>
      <c r="D511" s="73">
        <f>1802</f>
        <v>1802</v>
      </c>
      <c r="E511" s="73"/>
      <c r="F511" s="74">
        <f t="shared" si="183"/>
        <v>5102</v>
      </c>
      <c r="G511" s="75"/>
      <c r="H511" s="73"/>
      <c r="I511" s="74">
        <f>F511+G511+H511</f>
        <v>5102</v>
      </c>
      <c r="J511" s="75"/>
      <c r="K511" s="73"/>
      <c r="L511" s="136">
        <f>I511+J511+K511</f>
        <v>5102</v>
      </c>
      <c r="M511" s="75"/>
      <c r="N511" s="73"/>
      <c r="O511" s="74">
        <f>L511+M511+N511</f>
        <v>5102</v>
      </c>
      <c r="P511" s="187"/>
      <c r="Q511" s="171">
        <f t="shared" si="189"/>
        <v>5102</v>
      </c>
      <c r="R511" s="171">
        <v>3271.48</v>
      </c>
      <c r="S511" s="168">
        <f t="shared" si="165"/>
        <v>64.12152097216777</v>
      </c>
    </row>
    <row r="512" spans="1:19" ht="12.75">
      <c r="A512" s="12" t="s">
        <v>146</v>
      </c>
      <c r="B512" s="55"/>
      <c r="C512" s="75"/>
      <c r="D512" s="73"/>
      <c r="E512" s="73"/>
      <c r="F512" s="74">
        <f t="shared" si="183"/>
        <v>0</v>
      </c>
      <c r="G512" s="75">
        <f>10.07</f>
        <v>10.07</v>
      </c>
      <c r="H512" s="73"/>
      <c r="I512" s="74">
        <f>F512+G512+H512</f>
        <v>10.07</v>
      </c>
      <c r="J512" s="75"/>
      <c r="K512" s="73"/>
      <c r="L512" s="136">
        <f>I512+J512+K512</f>
        <v>10.07</v>
      </c>
      <c r="M512" s="75"/>
      <c r="N512" s="73"/>
      <c r="O512" s="74">
        <f>L512+M512+N512</f>
        <v>10.07</v>
      </c>
      <c r="P512" s="187"/>
      <c r="Q512" s="171">
        <f t="shared" si="189"/>
        <v>10.07</v>
      </c>
      <c r="R512" s="171">
        <v>0</v>
      </c>
      <c r="S512" s="168">
        <f t="shared" si="165"/>
        <v>0</v>
      </c>
    </row>
    <row r="513" spans="1:19" ht="12.75">
      <c r="A513" s="12" t="s">
        <v>147</v>
      </c>
      <c r="B513" s="55"/>
      <c r="C513" s="75">
        <f aca="true" t="shared" si="190" ref="C513:Q513">SUM(C514:C520)</f>
        <v>45000</v>
      </c>
      <c r="D513" s="73">
        <f t="shared" si="190"/>
        <v>102230.95999999999</v>
      </c>
      <c r="E513" s="73">
        <f t="shared" si="190"/>
        <v>-25347.55</v>
      </c>
      <c r="F513" s="74">
        <f t="shared" si="190"/>
        <v>121883.40999999999</v>
      </c>
      <c r="G513" s="75">
        <f t="shared" si="190"/>
        <v>619.4400000000015</v>
      </c>
      <c r="H513" s="73">
        <f t="shared" si="190"/>
        <v>0</v>
      </c>
      <c r="I513" s="74">
        <f t="shared" si="190"/>
        <v>122502.84999999999</v>
      </c>
      <c r="J513" s="75">
        <f t="shared" si="190"/>
        <v>-7072.1</v>
      </c>
      <c r="K513" s="73">
        <f t="shared" si="190"/>
        <v>18700</v>
      </c>
      <c r="L513" s="136">
        <f t="shared" si="190"/>
        <v>134130.75</v>
      </c>
      <c r="M513" s="75">
        <f t="shared" si="190"/>
        <v>0</v>
      </c>
      <c r="N513" s="73">
        <f t="shared" si="190"/>
        <v>23600</v>
      </c>
      <c r="O513" s="74">
        <f t="shared" si="190"/>
        <v>157730.75</v>
      </c>
      <c r="P513" s="200">
        <f t="shared" si="190"/>
        <v>0</v>
      </c>
      <c r="Q513" s="181">
        <f t="shared" si="190"/>
        <v>157730.75</v>
      </c>
      <c r="R513" s="181">
        <f>SUM(R514:R520)</f>
        <v>50435.22</v>
      </c>
      <c r="S513" s="168">
        <f t="shared" si="165"/>
        <v>31.975515237200103</v>
      </c>
    </row>
    <row r="514" spans="1:19" ht="12.75">
      <c r="A514" s="12" t="s">
        <v>148</v>
      </c>
      <c r="B514" s="55"/>
      <c r="C514" s="75">
        <v>11300</v>
      </c>
      <c r="D514" s="73">
        <f>28550.59-52.21</f>
        <v>28498.38</v>
      </c>
      <c r="E514" s="73">
        <v>1587.57</v>
      </c>
      <c r="F514" s="74">
        <f t="shared" si="183"/>
        <v>41385.950000000004</v>
      </c>
      <c r="G514" s="75">
        <f>20000-1000+1500</f>
        <v>20500</v>
      </c>
      <c r="H514" s="73"/>
      <c r="I514" s="74">
        <f aca="true" t="shared" si="191" ref="I514:I520">F514+G514+H514</f>
        <v>61885.950000000004</v>
      </c>
      <c r="J514" s="75">
        <f>1694.26+12362.8-20000-275.29</f>
        <v>-6218.2300000000005</v>
      </c>
      <c r="K514" s="73">
        <f>12100+6600</f>
        <v>18700</v>
      </c>
      <c r="L514" s="136">
        <f aca="true" t="shared" si="192" ref="L514:L520">I514+J514+K514</f>
        <v>74367.72</v>
      </c>
      <c r="M514" s="75"/>
      <c r="N514" s="73"/>
      <c r="O514" s="74">
        <f aca="true" t="shared" si="193" ref="O514:O520">L514+M514+N514</f>
        <v>74367.72</v>
      </c>
      <c r="P514" s="187">
        <f>95</f>
        <v>95</v>
      </c>
      <c r="Q514" s="171">
        <f t="shared" si="189"/>
        <v>74462.72</v>
      </c>
      <c r="R514" s="171">
        <v>19811.37</v>
      </c>
      <c r="S514" s="168">
        <f t="shared" si="165"/>
        <v>26.60575654502011</v>
      </c>
    </row>
    <row r="515" spans="1:19" ht="12.75">
      <c r="A515" s="12" t="s">
        <v>149</v>
      </c>
      <c r="B515" s="55"/>
      <c r="C515" s="75">
        <v>4000</v>
      </c>
      <c r="D515" s="73">
        <f>25732.7+20000-22.05</f>
        <v>45710.649999999994</v>
      </c>
      <c r="E515" s="73">
        <f>-25347.55-4000</f>
        <v>-29347.55</v>
      </c>
      <c r="F515" s="74">
        <f t="shared" si="183"/>
        <v>20363.099999999995</v>
      </c>
      <c r="G515" s="75">
        <f>-20000-363.1</f>
        <v>-20363.1</v>
      </c>
      <c r="H515" s="157"/>
      <c r="I515" s="156">
        <f t="shared" si="191"/>
        <v>-3.637978807091713E-12</v>
      </c>
      <c r="J515" s="75"/>
      <c r="K515" s="73"/>
      <c r="L515" s="156">
        <f t="shared" si="192"/>
        <v>-3.637978807091713E-12</v>
      </c>
      <c r="M515" s="75"/>
      <c r="N515" s="73"/>
      <c r="O515" s="74">
        <f t="shared" si="193"/>
        <v>-3.637978807091713E-12</v>
      </c>
      <c r="P515" s="187"/>
      <c r="Q515" s="171">
        <f t="shared" si="189"/>
        <v>-3.637978807091713E-12</v>
      </c>
      <c r="R515" s="171">
        <v>0</v>
      </c>
      <c r="S515" s="168">
        <f t="shared" si="165"/>
        <v>0</v>
      </c>
    </row>
    <row r="516" spans="1:19" ht="12.75" hidden="1">
      <c r="A516" s="12" t="s">
        <v>150</v>
      </c>
      <c r="B516" s="55"/>
      <c r="C516" s="75"/>
      <c r="D516" s="88"/>
      <c r="E516" s="88"/>
      <c r="F516" s="74">
        <f t="shared" si="183"/>
        <v>0</v>
      </c>
      <c r="G516" s="75"/>
      <c r="H516" s="73"/>
      <c r="I516" s="74">
        <f t="shared" si="191"/>
        <v>0</v>
      </c>
      <c r="J516" s="75"/>
      <c r="K516" s="73"/>
      <c r="L516" s="136">
        <f t="shared" si="192"/>
        <v>0</v>
      </c>
      <c r="M516" s="75"/>
      <c r="N516" s="73"/>
      <c r="O516" s="74">
        <f t="shared" si="193"/>
        <v>0</v>
      </c>
      <c r="P516" s="187"/>
      <c r="Q516" s="171">
        <f t="shared" si="189"/>
        <v>0</v>
      </c>
      <c r="R516" s="171"/>
      <c r="S516" s="168" t="e">
        <f t="shared" si="165"/>
        <v>#DIV/0!</v>
      </c>
    </row>
    <row r="517" spans="1:19" ht="12.75">
      <c r="A517" s="12" t="s">
        <v>151</v>
      </c>
      <c r="B517" s="55"/>
      <c r="C517" s="75">
        <v>19462</v>
      </c>
      <c r="D517" s="73">
        <f>13399.97</f>
        <v>13399.97</v>
      </c>
      <c r="E517" s="73"/>
      <c r="F517" s="74">
        <f t="shared" si="183"/>
        <v>32861.97</v>
      </c>
      <c r="G517" s="75">
        <f>-1100</f>
        <v>-1100</v>
      </c>
      <c r="H517" s="73"/>
      <c r="I517" s="74">
        <f t="shared" si="191"/>
        <v>31761.97</v>
      </c>
      <c r="J517" s="75"/>
      <c r="K517" s="73"/>
      <c r="L517" s="136">
        <f t="shared" si="192"/>
        <v>31761.97</v>
      </c>
      <c r="M517" s="75"/>
      <c r="N517" s="73">
        <f>23300</f>
        <v>23300</v>
      </c>
      <c r="O517" s="74">
        <f t="shared" si="193"/>
        <v>55061.97</v>
      </c>
      <c r="P517" s="187"/>
      <c r="Q517" s="171">
        <f t="shared" si="189"/>
        <v>55061.97</v>
      </c>
      <c r="R517" s="171">
        <v>23048.91</v>
      </c>
      <c r="S517" s="168">
        <f t="shared" si="165"/>
        <v>41.85994434997512</v>
      </c>
    </row>
    <row r="518" spans="1:19" ht="12.75">
      <c r="A518" s="12" t="s">
        <v>152</v>
      </c>
      <c r="B518" s="55"/>
      <c r="C518" s="75">
        <v>4000</v>
      </c>
      <c r="D518" s="73">
        <f>5545.4</f>
        <v>5545.4</v>
      </c>
      <c r="E518" s="73"/>
      <c r="F518" s="74">
        <f t="shared" si="183"/>
        <v>9545.4</v>
      </c>
      <c r="G518" s="75"/>
      <c r="H518" s="73"/>
      <c r="I518" s="74">
        <f t="shared" si="191"/>
        <v>9545.4</v>
      </c>
      <c r="J518" s="89"/>
      <c r="K518" s="73"/>
      <c r="L518" s="136">
        <f t="shared" si="192"/>
        <v>9545.4</v>
      </c>
      <c r="M518" s="75"/>
      <c r="N518" s="73">
        <f>300</f>
        <v>300</v>
      </c>
      <c r="O518" s="74">
        <f t="shared" si="193"/>
        <v>9845.4</v>
      </c>
      <c r="P518" s="187"/>
      <c r="Q518" s="171">
        <f t="shared" si="189"/>
        <v>9845.4</v>
      </c>
      <c r="R518" s="171">
        <v>0</v>
      </c>
      <c r="S518" s="168">
        <f t="shared" si="165"/>
        <v>0</v>
      </c>
    </row>
    <row r="519" spans="1:19" ht="12.75">
      <c r="A519" s="12" t="s">
        <v>153</v>
      </c>
      <c r="B519" s="55"/>
      <c r="C519" s="75">
        <v>4700</v>
      </c>
      <c r="D519" s="73">
        <f>4871.2+18</f>
        <v>4889.2</v>
      </c>
      <c r="E519" s="73">
        <v>5158.53</v>
      </c>
      <c r="F519" s="74">
        <f t="shared" si="183"/>
        <v>14747.73</v>
      </c>
      <c r="G519" s="75">
        <f>1000+1000</f>
        <v>2000</v>
      </c>
      <c r="H519" s="73"/>
      <c r="I519" s="74">
        <f t="shared" si="191"/>
        <v>16747.73</v>
      </c>
      <c r="J519" s="75">
        <f>-215+565.1+638.29</f>
        <v>988.39</v>
      </c>
      <c r="K519" s="73"/>
      <c r="L519" s="136">
        <f t="shared" si="192"/>
        <v>17736.12</v>
      </c>
      <c r="M519" s="75"/>
      <c r="N519" s="73"/>
      <c r="O519" s="74">
        <f t="shared" si="193"/>
        <v>17736.12</v>
      </c>
      <c r="P519" s="187">
        <f>-95</f>
        <v>-95</v>
      </c>
      <c r="Q519" s="171">
        <f t="shared" si="189"/>
        <v>17641.12</v>
      </c>
      <c r="R519" s="171">
        <v>7574.94</v>
      </c>
      <c r="S519" s="168">
        <f t="shared" si="165"/>
        <v>42.9391104419674</v>
      </c>
    </row>
    <row r="520" spans="1:19" ht="12.75">
      <c r="A520" s="12" t="s">
        <v>146</v>
      </c>
      <c r="B520" s="55"/>
      <c r="C520" s="75">
        <v>1538</v>
      </c>
      <c r="D520" s="73">
        <f>4131.1+56.26</f>
        <v>4187.360000000001</v>
      </c>
      <c r="E520" s="73">
        <v>-2746.1</v>
      </c>
      <c r="F520" s="74">
        <f t="shared" si="183"/>
        <v>2979.2600000000007</v>
      </c>
      <c r="G520" s="75">
        <f>-807.15+26.59+363.1</f>
        <v>-417.4599999999999</v>
      </c>
      <c r="H520" s="73"/>
      <c r="I520" s="74">
        <f t="shared" si="191"/>
        <v>2561.8000000000006</v>
      </c>
      <c r="J520" s="75">
        <f>-1479.26-363</f>
        <v>-1842.26</v>
      </c>
      <c r="K520" s="73"/>
      <c r="L520" s="136">
        <f t="shared" si="192"/>
        <v>719.5400000000006</v>
      </c>
      <c r="M520" s="75"/>
      <c r="N520" s="73"/>
      <c r="O520" s="74">
        <f t="shared" si="193"/>
        <v>719.5400000000006</v>
      </c>
      <c r="P520" s="187"/>
      <c r="Q520" s="171">
        <f t="shared" si="189"/>
        <v>719.5400000000006</v>
      </c>
      <c r="R520" s="171">
        <v>0</v>
      </c>
      <c r="S520" s="168">
        <f t="shared" si="165"/>
        <v>0</v>
      </c>
    </row>
    <row r="521" spans="1:19" ht="12.75">
      <c r="A521" s="12" t="s">
        <v>154</v>
      </c>
      <c r="B521" s="55"/>
      <c r="C521" s="75">
        <f aca="true" t="shared" si="194" ref="C521:Q521">SUM(C522:C525)</f>
        <v>3000</v>
      </c>
      <c r="D521" s="73">
        <f t="shared" si="194"/>
        <v>646.9</v>
      </c>
      <c r="E521" s="73">
        <f t="shared" si="194"/>
        <v>0</v>
      </c>
      <c r="F521" s="74">
        <f t="shared" si="194"/>
        <v>3646.9</v>
      </c>
      <c r="G521" s="75">
        <f t="shared" si="194"/>
        <v>1800</v>
      </c>
      <c r="H521" s="73">
        <f t="shared" si="194"/>
        <v>0</v>
      </c>
      <c r="I521" s="74">
        <f t="shared" si="194"/>
        <v>5446.9</v>
      </c>
      <c r="J521" s="75">
        <f t="shared" si="194"/>
        <v>0</v>
      </c>
      <c r="K521" s="73">
        <f t="shared" si="194"/>
        <v>0</v>
      </c>
      <c r="L521" s="136">
        <f t="shared" si="194"/>
        <v>5446.9</v>
      </c>
      <c r="M521" s="75">
        <f t="shared" si="194"/>
        <v>0</v>
      </c>
      <c r="N521" s="73">
        <f t="shared" si="194"/>
        <v>0</v>
      </c>
      <c r="O521" s="74">
        <f t="shared" si="194"/>
        <v>5446.9</v>
      </c>
      <c r="P521" s="200">
        <f t="shared" si="194"/>
        <v>0</v>
      </c>
      <c r="Q521" s="181">
        <f t="shared" si="194"/>
        <v>5446.9</v>
      </c>
      <c r="R521" s="181">
        <f>SUM(R522:R525)</f>
        <v>1465.69</v>
      </c>
      <c r="S521" s="168">
        <f t="shared" si="165"/>
        <v>26.908700361673617</v>
      </c>
    </row>
    <row r="522" spans="1:19" ht="12.75">
      <c r="A522" s="12" t="s">
        <v>143</v>
      </c>
      <c r="B522" s="55"/>
      <c r="C522" s="75">
        <v>700</v>
      </c>
      <c r="D522" s="73">
        <f>357</f>
        <v>357</v>
      </c>
      <c r="E522" s="73"/>
      <c r="F522" s="74">
        <f t="shared" si="183"/>
        <v>1057</v>
      </c>
      <c r="G522" s="75"/>
      <c r="H522" s="73"/>
      <c r="I522" s="74">
        <f>F522+G522+H522</f>
        <v>1057</v>
      </c>
      <c r="J522" s="75"/>
      <c r="K522" s="73"/>
      <c r="L522" s="136">
        <f>I522+J522+K522</f>
        <v>1057</v>
      </c>
      <c r="M522" s="75">
        <f>200</f>
        <v>200</v>
      </c>
      <c r="N522" s="73"/>
      <c r="O522" s="74">
        <f>L522+M522+N522</f>
        <v>1257</v>
      </c>
      <c r="P522" s="187">
        <v>185</v>
      </c>
      <c r="Q522" s="171">
        <f t="shared" si="189"/>
        <v>1442</v>
      </c>
      <c r="R522" s="171">
        <v>790.48</v>
      </c>
      <c r="S522" s="168">
        <f t="shared" si="165"/>
        <v>54.818307905686545</v>
      </c>
    </row>
    <row r="523" spans="1:19" ht="12.75">
      <c r="A523" s="12" t="s">
        <v>144</v>
      </c>
      <c r="B523" s="55"/>
      <c r="C523" s="75">
        <v>690</v>
      </c>
      <c r="D523" s="73"/>
      <c r="E523" s="73"/>
      <c r="F523" s="74">
        <f t="shared" si="183"/>
        <v>690</v>
      </c>
      <c r="G523" s="75"/>
      <c r="H523" s="73"/>
      <c r="I523" s="74">
        <f>F523+G523+H523</f>
        <v>690</v>
      </c>
      <c r="J523" s="75"/>
      <c r="K523" s="73"/>
      <c r="L523" s="136">
        <f>I523+J523+K523</f>
        <v>690</v>
      </c>
      <c r="M523" s="75"/>
      <c r="N523" s="73"/>
      <c r="O523" s="74">
        <f>L523+M523+N523</f>
        <v>690</v>
      </c>
      <c r="P523" s="187"/>
      <c r="Q523" s="171">
        <f t="shared" si="189"/>
        <v>690</v>
      </c>
      <c r="R523" s="171">
        <v>674.45</v>
      </c>
      <c r="S523" s="168">
        <f t="shared" si="165"/>
        <v>97.7463768115942</v>
      </c>
    </row>
    <row r="524" spans="1:19" ht="12.75">
      <c r="A524" s="12" t="s">
        <v>145</v>
      </c>
      <c r="B524" s="55"/>
      <c r="C524" s="75">
        <v>1500</v>
      </c>
      <c r="D524" s="73"/>
      <c r="E524" s="73"/>
      <c r="F524" s="74">
        <f t="shared" si="183"/>
        <v>1500</v>
      </c>
      <c r="G524" s="75">
        <f>1800</f>
        <v>1800</v>
      </c>
      <c r="H524" s="73"/>
      <c r="I524" s="74">
        <f>F524+G524+H524</f>
        <v>3300</v>
      </c>
      <c r="J524" s="75"/>
      <c r="K524" s="73"/>
      <c r="L524" s="136">
        <f>I524+J524+K524</f>
        <v>3300</v>
      </c>
      <c r="M524" s="75"/>
      <c r="N524" s="73"/>
      <c r="O524" s="74">
        <f>L524+M524+N524</f>
        <v>3300</v>
      </c>
      <c r="P524" s="187"/>
      <c r="Q524" s="171">
        <f t="shared" si="189"/>
        <v>3300</v>
      </c>
      <c r="R524" s="171">
        <v>0.76</v>
      </c>
      <c r="S524" s="168">
        <f aca="true" t="shared" si="195" ref="S524:S550">R524/Q524*100</f>
        <v>0.02303030303030303</v>
      </c>
    </row>
    <row r="525" spans="1:19" ht="12.75">
      <c r="A525" s="12" t="s">
        <v>146</v>
      </c>
      <c r="B525" s="55"/>
      <c r="C525" s="75">
        <v>110</v>
      </c>
      <c r="D525" s="73">
        <f>289.9</f>
        <v>289.9</v>
      </c>
      <c r="E525" s="73"/>
      <c r="F525" s="74">
        <f t="shared" si="183"/>
        <v>399.9</v>
      </c>
      <c r="G525" s="75"/>
      <c r="H525" s="73"/>
      <c r="I525" s="74">
        <f>F525+G525+H525</f>
        <v>399.9</v>
      </c>
      <c r="J525" s="75"/>
      <c r="K525" s="73"/>
      <c r="L525" s="136">
        <f>I525+J525+K525</f>
        <v>399.9</v>
      </c>
      <c r="M525" s="75">
        <f>-200</f>
        <v>-200</v>
      </c>
      <c r="N525" s="73"/>
      <c r="O525" s="74">
        <f>L525+M525+N525</f>
        <v>199.89999999999998</v>
      </c>
      <c r="P525" s="187">
        <v>-185</v>
      </c>
      <c r="Q525" s="171">
        <f t="shared" si="189"/>
        <v>14.899999999999977</v>
      </c>
      <c r="R525" s="171">
        <v>0</v>
      </c>
      <c r="S525" s="168">
        <f t="shared" si="195"/>
        <v>0</v>
      </c>
    </row>
    <row r="526" spans="1:19" ht="12.75">
      <c r="A526" s="12" t="s">
        <v>155</v>
      </c>
      <c r="B526" s="55"/>
      <c r="C526" s="75">
        <f aca="true" t="shared" si="196" ref="C526:Q526">SUM(C527:C531)</f>
        <v>10000</v>
      </c>
      <c r="D526" s="73">
        <f t="shared" si="196"/>
        <v>31151.23</v>
      </c>
      <c r="E526" s="73">
        <f t="shared" si="196"/>
        <v>0</v>
      </c>
      <c r="F526" s="74">
        <f t="shared" si="196"/>
        <v>41151.23</v>
      </c>
      <c r="G526" s="75">
        <f t="shared" si="196"/>
        <v>4041.690000000001</v>
      </c>
      <c r="H526" s="73">
        <f t="shared" si="196"/>
        <v>0</v>
      </c>
      <c r="I526" s="74">
        <f t="shared" si="196"/>
        <v>45192.92</v>
      </c>
      <c r="J526" s="75">
        <f t="shared" si="196"/>
        <v>1960</v>
      </c>
      <c r="K526" s="73">
        <f t="shared" si="196"/>
        <v>0</v>
      </c>
      <c r="L526" s="136">
        <f t="shared" si="196"/>
        <v>47152.92</v>
      </c>
      <c r="M526" s="75">
        <f t="shared" si="196"/>
        <v>740</v>
      </c>
      <c r="N526" s="73">
        <f t="shared" si="196"/>
        <v>0</v>
      </c>
      <c r="O526" s="74">
        <f t="shared" si="196"/>
        <v>47892.92</v>
      </c>
      <c r="P526" s="200">
        <f t="shared" si="196"/>
        <v>0</v>
      </c>
      <c r="Q526" s="181">
        <f t="shared" si="196"/>
        <v>47892.92</v>
      </c>
      <c r="R526" s="181">
        <f>SUM(R527:R531)</f>
        <v>16710.79</v>
      </c>
      <c r="S526" s="168">
        <f t="shared" si="195"/>
        <v>34.89198403438337</v>
      </c>
    </row>
    <row r="527" spans="1:19" ht="12.75">
      <c r="A527" s="12" t="s">
        <v>143</v>
      </c>
      <c r="B527" s="55"/>
      <c r="C527" s="75">
        <v>2370</v>
      </c>
      <c r="D527" s="73">
        <f>1503.57+15600-100</f>
        <v>17003.57</v>
      </c>
      <c r="E527" s="73"/>
      <c r="F527" s="74">
        <f t="shared" si="183"/>
        <v>19373.57</v>
      </c>
      <c r="G527" s="75">
        <f>34.05-9750-900+1350</f>
        <v>-9265.95</v>
      </c>
      <c r="H527" s="73"/>
      <c r="I527" s="74">
        <f aca="true" t="shared" si="197" ref="I527:I534">F527+G527+H527</f>
        <v>10107.619999999999</v>
      </c>
      <c r="J527" s="75">
        <f>400</f>
        <v>400</v>
      </c>
      <c r="K527" s="73"/>
      <c r="L527" s="136">
        <f>I527+J527+K527</f>
        <v>10507.619999999999</v>
      </c>
      <c r="M527" s="89">
        <f>-1250+400+340</f>
        <v>-510</v>
      </c>
      <c r="N527" s="73"/>
      <c r="O527" s="74">
        <f>L527+M527+N527</f>
        <v>9997.619999999999</v>
      </c>
      <c r="P527" s="187"/>
      <c r="Q527" s="171">
        <f t="shared" si="189"/>
        <v>9997.619999999999</v>
      </c>
      <c r="R527" s="171">
        <v>6727.58</v>
      </c>
      <c r="S527" s="168">
        <f t="shared" si="195"/>
        <v>67.2918154520776</v>
      </c>
    </row>
    <row r="528" spans="1:19" ht="12.75">
      <c r="A528" s="12" t="s">
        <v>144</v>
      </c>
      <c r="B528" s="55"/>
      <c r="C528" s="75">
        <v>500</v>
      </c>
      <c r="D528" s="73">
        <f>11.71+100</f>
        <v>111.71000000000001</v>
      </c>
      <c r="E528" s="73"/>
      <c r="F528" s="74">
        <f t="shared" si="183"/>
        <v>611.71</v>
      </c>
      <c r="G528" s="75">
        <f>-11.71</f>
        <v>-11.71</v>
      </c>
      <c r="H528" s="73"/>
      <c r="I528" s="74">
        <f t="shared" si="197"/>
        <v>600</v>
      </c>
      <c r="J528" s="75"/>
      <c r="K528" s="73"/>
      <c r="L528" s="136">
        <f>I528+J528+K528</f>
        <v>600</v>
      </c>
      <c r="M528" s="75"/>
      <c r="N528" s="73"/>
      <c r="O528" s="74">
        <f>L528+M528+N528</f>
        <v>600</v>
      </c>
      <c r="P528" s="187"/>
      <c r="Q528" s="171">
        <f t="shared" si="189"/>
        <v>600</v>
      </c>
      <c r="R528" s="171">
        <v>598.45</v>
      </c>
      <c r="S528" s="168">
        <f t="shared" si="195"/>
        <v>99.74166666666667</v>
      </c>
    </row>
    <row r="529" spans="1:19" ht="12.75">
      <c r="A529" s="12" t="s">
        <v>156</v>
      </c>
      <c r="B529" s="55"/>
      <c r="C529" s="75">
        <v>7130</v>
      </c>
      <c r="D529" s="73">
        <f>13602.52</f>
        <v>13602.52</v>
      </c>
      <c r="E529" s="73"/>
      <c r="F529" s="74">
        <f t="shared" si="183"/>
        <v>20732.52</v>
      </c>
      <c r="G529" s="75">
        <f>-4035.64+16820+1900-1350</f>
        <v>13334.36</v>
      </c>
      <c r="H529" s="73"/>
      <c r="I529" s="74">
        <f t="shared" si="197"/>
        <v>34066.880000000005</v>
      </c>
      <c r="J529" s="75">
        <v>1960</v>
      </c>
      <c r="K529" s="73"/>
      <c r="L529" s="136">
        <f>I529+J529+K529</f>
        <v>36026.880000000005</v>
      </c>
      <c r="M529" s="75">
        <f>1250</f>
        <v>1250</v>
      </c>
      <c r="N529" s="73"/>
      <c r="O529" s="74">
        <f>L529+M529+N529</f>
        <v>37276.880000000005</v>
      </c>
      <c r="P529" s="187"/>
      <c r="Q529" s="171">
        <f t="shared" si="189"/>
        <v>37276.880000000005</v>
      </c>
      <c r="R529" s="171">
        <v>9384.76</v>
      </c>
      <c r="S529" s="168">
        <f t="shared" si="195"/>
        <v>25.175819435532155</v>
      </c>
    </row>
    <row r="530" spans="1:19" ht="12.75" hidden="1">
      <c r="A530" s="12" t="s">
        <v>153</v>
      </c>
      <c r="B530" s="55"/>
      <c r="C530" s="75"/>
      <c r="D530" s="73">
        <f>357.13</f>
        <v>357.13</v>
      </c>
      <c r="E530" s="73"/>
      <c r="F530" s="74">
        <f t="shared" si="183"/>
        <v>357.13</v>
      </c>
      <c r="G530" s="75">
        <f>-357.13</f>
        <v>-357.13</v>
      </c>
      <c r="H530" s="73"/>
      <c r="I530" s="74">
        <f t="shared" si="197"/>
        <v>0</v>
      </c>
      <c r="J530" s="75"/>
      <c r="K530" s="73"/>
      <c r="L530" s="136">
        <f>I530+J530+K530</f>
        <v>0</v>
      </c>
      <c r="M530" s="75"/>
      <c r="N530" s="73"/>
      <c r="O530" s="74">
        <f>L530+M530+N530</f>
        <v>0</v>
      </c>
      <c r="P530" s="187"/>
      <c r="Q530" s="171">
        <f t="shared" si="189"/>
        <v>0</v>
      </c>
      <c r="R530" s="171"/>
      <c r="S530" s="168" t="e">
        <f t="shared" si="195"/>
        <v>#DIV/0!</v>
      </c>
    </row>
    <row r="531" spans="1:19" ht="13.5" thickBot="1">
      <c r="A531" s="242" t="s">
        <v>146</v>
      </c>
      <c r="B531" s="238"/>
      <c r="C531" s="233"/>
      <c r="D531" s="240">
        <f>76.3</f>
        <v>76.3</v>
      </c>
      <c r="E531" s="234"/>
      <c r="F531" s="235">
        <f t="shared" si="183"/>
        <v>76.3</v>
      </c>
      <c r="G531" s="233">
        <f>4370.43-4028.44+0.13</f>
        <v>342.12000000000023</v>
      </c>
      <c r="H531" s="234"/>
      <c r="I531" s="235">
        <f t="shared" si="197"/>
        <v>418.42000000000024</v>
      </c>
      <c r="J531" s="233">
        <f>-400</f>
        <v>-400</v>
      </c>
      <c r="K531" s="234"/>
      <c r="L531" s="236">
        <f>I531+J531+K531</f>
        <v>18.420000000000243</v>
      </c>
      <c r="M531" s="233"/>
      <c r="N531" s="234"/>
      <c r="O531" s="235">
        <f>L531+M531+N531</f>
        <v>18.420000000000243</v>
      </c>
      <c r="P531" s="205"/>
      <c r="Q531" s="164">
        <f t="shared" si="189"/>
        <v>18.420000000000243</v>
      </c>
      <c r="R531" s="164">
        <v>0</v>
      </c>
      <c r="S531" s="184">
        <f t="shared" si="195"/>
        <v>0</v>
      </c>
    </row>
    <row r="532" spans="1:19" ht="12.75">
      <c r="A532" s="13" t="s">
        <v>157</v>
      </c>
      <c r="B532" s="55"/>
      <c r="C532" s="75">
        <f aca="true" t="shared" si="198" ref="C532:Q532">C533+C534</f>
        <v>15000</v>
      </c>
      <c r="D532" s="73">
        <f t="shared" si="198"/>
        <v>792.72</v>
      </c>
      <c r="E532" s="73">
        <f t="shared" si="198"/>
        <v>0</v>
      </c>
      <c r="F532" s="74">
        <f t="shared" si="198"/>
        <v>15792.72</v>
      </c>
      <c r="G532" s="128">
        <f t="shared" si="198"/>
        <v>29.379999999999995</v>
      </c>
      <c r="H532" s="73">
        <f t="shared" si="198"/>
        <v>0</v>
      </c>
      <c r="I532" s="74">
        <f t="shared" si="198"/>
        <v>15822.099999999999</v>
      </c>
      <c r="J532" s="75">
        <f t="shared" si="198"/>
        <v>-13473.9</v>
      </c>
      <c r="K532" s="73">
        <f t="shared" si="198"/>
        <v>0</v>
      </c>
      <c r="L532" s="136">
        <f t="shared" si="198"/>
        <v>2348.199999999999</v>
      </c>
      <c r="M532" s="75">
        <f t="shared" si="198"/>
        <v>0</v>
      </c>
      <c r="N532" s="73">
        <f t="shared" si="198"/>
        <v>0</v>
      </c>
      <c r="O532" s="74">
        <f t="shared" si="198"/>
        <v>2348.199999999999</v>
      </c>
      <c r="P532" s="200">
        <f t="shared" si="198"/>
        <v>0</v>
      </c>
      <c r="Q532" s="181">
        <f t="shared" si="198"/>
        <v>2348.199999999999</v>
      </c>
      <c r="R532" s="181">
        <f>R533+R534</f>
        <v>6.93</v>
      </c>
      <c r="S532" s="168">
        <f t="shared" si="195"/>
        <v>0.29511966612724655</v>
      </c>
    </row>
    <row r="533" spans="1:19" ht="12.75">
      <c r="A533" s="13" t="s">
        <v>329</v>
      </c>
      <c r="B533" s="55"/>
      <c r="C533" s="75">
        <v>15000</v>
      </c>
      <c r="D533" s="73">
        <v>792.72</v>
      </c>
      <c r="E533" s="73"/>
      <c r="F533" s="74">
        <f t="shared" si="183"/>
        <v>15792.72</v>
      </c>
      <c r="G533" s="75">
        <f>-150+169.38</f>
        <v>19.379999999999995</v>
      </c>
      <c r="H533" s="73"/>
      <c r="I533" s="74">
        <f t="shared" si="197"/>
        <v>15812.099999999999</v>
      </c>
      <c r="J533" s="75">
        <f>-546-565.1-12362.8</f>
        <v>-13473.9</v>
      </c>
      <c r="K533" s="73"/>
      <c r="L533" s="136">
        <f>I533+J533+K533</f>
        <v>2338.199999999999</v>
      </c>
      <c r="M533" s="75"/>
      <c r="N533" s="73"/>
      <c r="O533" s="74">
        <f>L533+M533+N533</f>
        <v>2338.199999999999</v>
      </c>
      <c r="P533" s="187"/>
      <c r="Q533" s="171">
        <f t="shared" si="189"/>
        <v>2338.199999999999</v>
      </c>
      <c r="R533" s="171">
        <v>0</v>
      </c>
      <c r="S533" s="168">
        <f t="shared" si="195"/>
        <v>0</v>
      </c>
    </row>
    <row r="534" spans="1:19" ht="12.75">
      <c r="A534" s="16" t="s">
        <v>330</v>
      </c>
      <c r="B534" s="58"/>
      <c r="C534" s="83"/>
      <c r="D534" s="84"/>
      <c r="E534" s="84"/>
      <c r="F534" s="121">
        <f t="shared" si="183"/>
        <v>0</v>
      </c>
      <c r="G534" s="83">
        <v>10</v>
      </c>
      <c r="H534" s="84"/>
      <c r="I534" s="121">
        <f t="shared" si="197"/>
        <v>10</v>
      </c>
      <c r="J534" s="83"/>
      <c r="K534" s="84"/>
      <c r="L534" s="136">
        <f>I534+J534+K534</f>
        <v>10</v>
      </c>
      <c r="M534" s="83"/>
      <c r="N534" s="84"/>
      <c r="O534" s="121">
        <f>L534+M534+N534</f>
        <v>10</v>
      </c>
      <c r="P534" s="195"/>
      <c r="Q534" s="207">
        <f t="shared" si="189"/>
        <v>10</v>
      </c>
      <c r="R534" s="207">
        <v>6.93</v>
      </c>
      <c r="S534" s="215">
        <f t="shared" si="195"/>
        <v>69.3</v>
      </c>
    </row>
    <row r="535" spans="1:19" ht="13.5" thickBot="1">
      <c r="A535" s="27" t="s">
        <v>158</v>
      </c>
      <c r="B535" s="59"/>
      <c r="C535" s="76">
        <v>5336.6</v>
      </c>
      <c r="D535" s="77"/>
      <c r="E535" s="77"/>
      <c r="F535" s="78">
        <f t="shared" si="183"/>
        <v>5336.6</v>
      </c>
      <c r="G535" s="76">
        <f>8.6+7.53</f>
        <v>16.13</v>
      </c>
      <c r="H535" s="77">
        <v>1836.76</v>
      </c>
      <c r="I535" s="78">
        <f>SUM(F535:H535)</f>
        <v>7189.490000000001</v>
      </c>
      <c r="J535" s="76">
        <f>36.4+4.2</f>
        <v>40.6</v>
      </c>
      <c r="K535" s="77"/>
      <c r="L535" s="152">
        <f>SUM(I535:K535)</f>
        <v>7230.090000000001</v>
      </c>
      <c r="M535" s="158">
        <v>9.1</v>
      </c>
      <c r="N535" s="77"/>
      <c r="O535" s="78">
        <f>SUM(L535:N535)</f>
        <v>7239.190000000001</v>
      </c>
      <c r="P535" s="191"/>
      <c r="Q535" s="175">
        <f>O535+P535</f>
        <v>7239.190000000001</v>
      </c>
      <c r="R535" s="219">
        <v>4958.87</v>
      </c>
      <c r="S535" s="168">
        <f t="shared" si="195"/>
        <v>68.50034327044875</v>
      </c>
    </row>
    <row r="536" spans="1:19" ht="14.25" thickBot="1">
      <c r="A536" s="28" t="s">
        <v>159</v>
      </c>
      <c r="B536" s="62"/>
      <c r="C536" s="113">
        <f aca="true" t="shared" si="199" ref="C536:Q536">C107+C126+C153+C171+C181+C201+C211+C253+C301+C324+C395+C425+C445+C452+C481+C485+C535+C460+C341</f>
        <v>3575790.599999999</v>
      </c>
      <c r="D536" s="104">
        <f t="shared" si="199"/>
        <v>6108106.55</v>
      </c>
      <c r="E536" s="104">
        <f t="shared" si="199"/>
        <v>1425</v>
      </c>
      <c r="F536" s="101">
        <f t="shared" si="199"/>
        <v>9685322.149999997</v>
      </c>
      <c r="G536" s="113">
        <f t="shared" si="199"/>
        <v>690431.3800000001</v>
      </c>
      <c r="H536" s="104">
        <f t="shared" si="199"/>
        <v>54860.99</v>
      </c>
      <c r="I536" s="101">
        <f t="shared" si="199"/>
        <v>10430614.52</v>
      </c>
      <c r="J536" s="113">
        <f t="shared" si="199"/>
        <v>582856.3599999999</v>
      </c>
      <c r="K536" s="104">
        <f t="shared" si="199"/>
        <v>12100</v>
      </c>
      <c r="L536" s="144">
        <f t="shared" si="199"/>
        <v>11025570.879999999</v>
      </c>
      <c r="M536" s="113">
        <f t="shared" si="199"/>
        <v>387147.05000000005</v>
      </c>
      <c r="N536" s="104">
        <f t="shared" si="199"/>
        <v>0</v>
      </c>
      <c r="O536" s="101">
        <f t="shared" si="199"/>
        <v>11412717.929999998</v>
      </c>
      <c r="P536" s="201">
        <f t="shared" si="199"/>
        <v>378201.85</v>
      </c>
      <c r="Q536" s="210">
        <f t="shared" si="199"/>
        <v>11790919.779999994</v>
      </c>
      <c r="R536" s="210">
        <f>R107+R126+R153+R171+R181+R201+R211+R253+R301+R324+R395+R425+R445+R452+R481+R485+R535+R460+R341</f>
        <v>10343449.619999995</v>
      </c>
      <c r="S536" s="225">
        <f t="shared" si="195"/>
        <v>87.72385711201913</v>
      </c>
    </row>
    <row r="537" spans="1:19" ht="13.5" thickBot="1">
      <c r="A537" s="29" t="s">
        <v>160</v>
      </c>
      <c r="B537" s="62"/>
      <c r="C537" s="161">
        <v>-5336.6</v>
      </c>
      <c r="D537" s="226"/>
      <c r="E537" s="226"/>
      <c r="F537" s="227">
        <f>SUM(C537:E537)</f>
        <v>-5336.6</v>
      </c>
      <c r="G537" s="161">
        <f>-8.6-7.53</f>
        <v>-16.13</v>
      </c>
      <c r="H537" s="226"/>
      <c r="I537" s="227">
        <f>SUM(F537:H537)</f>
        <v>-5352.7300000000005</v>
      </c>
      <c r="J537" s="161">
        <f>-36.4-4.2</f>
        <v>-40.6</v>
      </c>
      <c r="K537" s="226"/>
      <c r="L537" s="228">
        <f>SUM(I537:K537)</f>
        <v>-5393.330000000001</v>
      </c>
      <c r="M537" s="161">
        <v>-9.1</v>
      </c>
      <c r="N537" s="226"/>
      <c r="O537" s="227">
        <f>SUM(L537:N537)</f>
        <v>-5402.430000000001</v>
      </c>
      <c r="P537" s="229"/>
      <c r="Q537" s="230">
        <f t="shared" si="189"/>
        <v>-5402.430000000001</v>
      </c>
      <c r="R537" s="220">
        <v>-5391.77</v>
      </c>
      <c r="S537" s="221">
        <f t="shared" si="195"/>
        <v>99.8026813859689</v>
      </c>
    </row>
    <row r="538" spans="1:19" ht="15.75" thickBot="1">
      <c r="A538" s="30" t="s">
        <v>161</v>
      </c>
      <c r="B538" s="62"/>
      <c r="C538" s="114">
        <f>C536+C537</f>
        <v>3570453.999999999</v>
      </c>
      <c r="D538" s="105">
        <f aca="true" t="shared" si="200" ref="D538:Q538">D536+D537</f>
        <v>6108106.55</v>
      </c>
      <c r="E538" s="105">
        <f t="shared" si="200"/>
        <v>1425</v>
      </c>
      <c r="F538" s="92">
        <f t="shared" si="200"/>
        <v>9679985.549999997</v>
      </c>
      <c r="G538" s="114">
        <f t="shared" si="200"/>
        <v>690415.2500000001</v>
      </c>
      <c r="H538" s="105">
        <f t="shared" si="200"/>
        <v>54860.99</v>
      </c>
      <c r="I538" s="92">
        <f t="shared" si="200"/>
        <v>10425261.79</v>
      </c>
      <c r="J538" s="114">
        <f t="shared" si="200"/>
        <v>582815.7599999999</v>
      </c>
      <c r="K538" s="105">
        <f t="shared" si="200"/>
        <v>12100</v>
      </c>
      <c r="L538" s="145">
        <f t="shared" si="200"/>
        <v>11020177.549999999</v>
      </c>
      <c r="M538" s="114">
        <f t="shared" si="200"/>
        <v>387137.95000000007</v>
      </c>
      <c r="N538" s="105">
        <f t="shared" si="200"/>
        <v>0</v>
      </c>
      <c r="O538" s="92">
        <f t="shared" si="200"/>
        <v>11407315.499999998</v>
      </c>
      <c r="P538" s="202">
        <f t="shared" si="200"/>
        <v>378201.85</v>
      </c>
      <c r="Q538" s="211">
        <f t="shared" si="200"/>
        <v>11785517.349999994</v>
      </c>
      <c r="R538" s="211">
        <f>R536+R537</f>
        <v>10338057.849999996</v>
      </c>
      <c r="S538" s="213">
        <f>R538/Q538*100</f>
        <v>87.71832023139825</v>
      </c>
    </row>
    <row r="539" spans="1:19" ht="15">
      <c r="A539" s="31" t="s">
        <v>35</v>
      </c>
      <c r="B539" s="63"/>
      <c r="C539" s="115"/>
      <c r="D539" s="106"/>
      <c r="E539" s="106"/>
      <c r="F539" s="93"/>
      <c r="G539" s="115"/>
      <c r="H539" s="106"/>
      <c r="I539" s="93"/>
      <c r="J539" s="115"/>
      <c r="K539" s="106"/>
      <c r="L539" s="153"/>
      <c r="M539" s="115"/>
      <c r="N539" s="106"/>
      <c r="O539" s="93"/>
      <c r="P539" s="187"/>
      <c r="Q539" s="171"/>
      <c r="R539" s="171"/>
      <c r="S539" s="168"/>
    </row>
    <row r="540" spans="1:19" ht="15">
      <c r="A540" s="32" t="s">
        <v>64</v>
      </c>
      <c r="B540" s="64"/>
      <c r="C540" s="116">
        <f aca="true" t="shared" si="201" ref="C540:L540">C108+C127+C154+C172+C182+C202+C212+C254+C302+C325+C396+C426+C446+C453+C482+C487+C535+C537+C461+C342</f>
        <v>2843429.7999999993</v>
      </c>
      <c r="D540" s="107">
        <f t="shared" si="201"/>
        <v>5260705.919999999</v>
      </c>
      <c r="E540" s="107">
        <f t="shared" si="201"/>
        <v>29941.079999999998</v>
      </c>
      <c r="F540" s="102">
        <f t="shared" si="201"/>
        <v>8134076.8</v>
      </c>
      <c r="G540" s="116">
        <f t="shared" si="201"/>
        <v>406088.88</v>
      </c>
      <c r="H540" s="107">
        <f t="shared" si="201"/>
        <v>-43757.549999999996</v>
      </c>
      <c r="I540" s="102">
        <f t="shared" si="201"/>
        <v>8496408.13</v>
      </c>
      <c r="J540" s="116">
        <f t="shared" si="201"/>
        <v>162884.24000000002</v>
      </c>
      <c r="K540" s="107">
        <f t="shared" si="201"/>
        <v>-6377.35</v>
      </c>
      <c r="L540" s="146">
        <f t="shared" si="201"/>
        <v>8652915.019999998</v>
      </c>
      <c r="M540" s="116">
        <f aca="true" t="shared" si="202" ref="M540:R540">M108+M127+M154+M172+M182+M202+M212+M254+M302+M325+M396+M426+M446+M453+M482+M487+M535+M537+M461+M342</f>
        <v>106398.34999999999</v>
      </c>
      <c r="N540" s="107">
        <f t="shared" si="202"/>
        <v>-24376.9</v>
      </c>
      <c r="O540" s="102">
        <f t="shared" si="202"/>
        <v>8734936.469999997</v>
      </c>
      <c r="P540" s="203">
        <f t="shared" si="202"/>
        <v>91398.03</v>
      </c>
      <c r="Q540" s="182">
        <f t="shared" si="202"/>
        <v>8826334.499999996</v>
      </c>
      <c r="R540" s="182">
        <f t="shared" si="202"/>
        <v>8470617.139999999</v>
      </c>
      <c r="S540" s="165">
        <f t="shared" si="195"/>
        <v>95.96981782188294</v>
      </c>
    </row>
    <row r="541" spans="1:19" ht="15.75" thickBot="1">
      <c r="A541" s="18" t="s">
        <v>70</v>
      </c>
      <c r="B541" s="65"/>
      <c r="C541" s="117">
        <f aca="true" t="shared" si="203" ref="C541:L541">C120+C149+C163+C177+C196+C207+C239+C293+C315+C335+C420+C435+C449+C488+C473+C367</f>
        <v>727024.2</v>
      </c>
      <c r="D541" s="108">
        <f t="shared" si="203"/>
        <v>847400.6299999999</v>
      </c>
      <c r="E541" s="108">
        <f t="shared" si="203"/>
        <v>-28516.079999999998</v>
      </c>
      <c r="F541" s="103">
        <f t="shared" si="203"/>
        <v>1545908.7499999998</v>
      </c>
      <c r="G541" s="117">
        <f t="shared" si="203"/>
        <v>284326.37000000005</v>
      </c>
      <c r="H541" s="108">
        <f t="shared" si="203"/>
        <v>98618.54</v>
      </c>
      <c r="I541" s="103">
        <f t="shared" si="203"/>
        <v>1928853.6599999997</v>
      </c>
      <c r="J541" s="117">
        <f t="shared" si="203"/>
        <v>419931.5199999999</v>
      </c>
      <c r="K541" s="108">
        <f t="shared" si="203"/>
        <v>18477.35</v>
      </c>
      <c r="L541" s="147">
        <f t="shared" si="203"/>
        <v>2367262.53</v>
      </c>
      <c r="M541" s="117">
        <f aca="true" t="shared" si="204" ref="M541:R541">M120+M149+M163+M177+M196+M207+M239+M293+M315+M335+M420+M435+M449+M488+M473+M367</f>
        <v>280739.60000000003</v>
      </c>
      <c r="N541" s="108">
        <f t="shared" si="204"/>
        <v>24376.9</v>
      </c>
      <c r="O541" s="103">
        <f t="shared" si="204"/>
        <v>2672379.03</v>
      </c>
      <c r="P541" s="204">
        <f t="shared" si="204"/>
        <v>286803.82</v>
      </c>
      <c r="Q541" s="212">
        <f t="shared" si="204"/>
        <v>2959182.8499999996</v>
      </c>
      <c r="R541" s="212">
        <f t="shared" si="204"/>
        <v>1867440.71</v>
      </c>
      <c r="S541" s="213">
        <f t="shared" si="195"/>
        <v>63.106634657604886</v>
      </c>
    </row>
    <row r="542" spans="1:19" ht="15.75" thickBot="1">
      <c r="A542" s="30" t="s">
        <v>394</v>
      </c>
      <c r="B542" s="62"/>
      <c r="C542" s="113">
        <f>C105-C538</f>
        <v>-137499.99999999907</v>
      </c>
      <c r="D542" s="113">
        <f aca="true" t="shared" si="205" ref="D542:R542">D105-D538</f>
        <v>-1090129.1100000003</v>
      </c>
      <c r="E542" s="113">
        <f t="shared" si="205"/>
        <v>-1425</v>
      </c>
      <c r="F542" s="113">
        <f t="shared" si="205"/>
        <v>-1229054.1099999975</v>
      </c>
      <c r="G542" s="113">
        <f t="shared" si="205"/>
        <v>-26817.70000000007</v>
      </c>
      <c r="H542" s="113">
        <f t="shared" si="205"/>
        <v>-30302.62</v>
      </c>
      <c r="I542" s="113">
        <f t="shared" si="205"/>
        <v>-1286174.4299999997</v>
      </c>
      <c r="J542" s="113">
        <f t="shared" si="205"/>
        <v>0</v>
      </c>
      <c r="K542" s="113">
        <f t="shared" si="205"/>
        <v>0</v>
      </c>
      <c r="L542" s="113">
        <f t="shared" si="205"/>
        <v>-1286174.4299999997</v>
      </c>
      <c r="M542" s="113">
        <f t="shared" si="205"/>
        <v>0</v>
      </c>
      <c r="N542" s="113">
        <f t="shared" si="205"/>
        <v>0</v>
      </c>
      <c r="O542" s="113">
        <f t="shared" si="205"/>
        <v>-1286174.4299999997</v>
      </c>
      <c r="P542" s="113">
        <f t="shared" si="205"/>
        <v>0</v>
      </c>
      <c r="Q542" s="113">
        <f t="shared" si="205"/>
        <v>-1286174.429999996</v>
      </c>
      <c r="R542" s="113">
        <f t="shared" si="205"/>
        <v>383059.3900000043</v>
      </c>
      <c r="S542" s="243" t="s">
        <v>384</v>
      </c>
    </row>
    <row r="543" spans="1:19" ht="15">
      <c r="A543" s="32" t="s">
        <v>162</v>
      </c>
      <c r="B543" s="64"/>
      <c r="C543" s="118">
        <f>SUM(C545:C550)</f>
        <v>137500</v>
      </c>
      <c r="D543" s="109">
        <f aca="true" t="shared" si="206" ref="D543:Q543">SUM(D545:D550)</f>
        <v>1090129.1099999999</v>
      </c>
      <c r="E543" s="109">
        <f t="shared" si="206"/>
        <v>1425</v>
      </c>
      <c r="F543" s="222">
        <f t="shared" si="206"/>
        <v>1229054.1099999999</v>
      </c>
      <c r="G543" s="118">
        <f t="shared" si="206"/>
        <v>26817.700000000004</v>
      </c>
      <c r="H543" s="109">
        <f t="shared" si="206"/>
        <v>30302.62</v>
      </c>
      <c r="I543" s="222">
        <f aca="true" t="shared" si="207" ref="I543:O543">SUM(I545:I550)</f>
        <v>1286174.43</v>
      </c>
      <c r="J543" s="118">
        <f t="shared" si="207"/>
        <v>0</v>
      </c>
      <c r="K543" s="109">
        <f t="shared" si="207"/>
        <v>0</v>
      </c>
      <c r="L543" s="223">
        <f t="shared" si="207"/>
        <v>1286174.43</v>
      </c>
      <c r="M543" s="118">
        <f t="shared" si="207"/>
        <v>0</v>
      </c>
      <c r="N543" s="109">
        <f t="shared" si="207"/>
        <v>0</v>
      </c>
      <c r="O543" s="222">
        <f t="shared" si="207"/>
        <v>1286174.43</v>
      </c>
      <c r="P543" s="224">
        <f t="shared" si="206"/>
        <v>0</v>
      </c>
      <c r="Q543" s="183">
        <f t="shared" si="206"/>
        <v>1286174.43</v>
      </c>
      <c r="R543" s="183">
        <f>SUM(R545:R550)</f>
        <v>-383059.39</v>
      </c>
      <c r="S543" s="244" t="s">
        <v>384</v>
      </c>
    </row>
    <row r="544" spans="1:19" ht="12.75" customHeight="1">
      <c r="A544" s="33" t="s">
        <v>35</v>
      </c>
      <c r="B544" s="66"/>
      <c r="C544" s="118"/>
      <c r="D544" s="109"/>
      <c r="E544" s="109"/>
      <c r="F544" s="94"/>
      <c r="G544" s="118"/>
      <c r="H544" s="109"/>
      <c r="I544" s="94"/>
      <c r="J544" s="118"/>
      <c r="K544" s="109"/>
      <c r="L544" s="154"/>
      <c r="M544" s="118"/>
      <c r="N544" s="109"/>
      <c r="O544" s="94"/>
      <c r="P544" s="187"/>
      <c r="Q544" s="171"/>
      <c r="R544" s="171"/>
      <c r="S544" s="168"/>
    </row>
    <row r="545" spans="1:19" ht="13.5">
      <c r="A545" s="33" t="s">
        <v>163</v>
      </c>
      <c r="B545" s="66"/>
      <c r="C545" s="96">
        <v>300000</v>
      </c>
      <c r="D545" s="98"/>
      <c r="E545" s="98"/>
      <c r="F545" s="94">
        <f aca="true" t="shared" si="208" ref="F545:F550">SUM(C545:E545)</f>
        <v>300000</v>
      </c>
      <c r="G545" s="96"/>
      <c r="H545" s="98"/>
      <c r="I545" s="94">
        <f aca="true" t="shared" si="209" ref="I545:I550">SUM(F545:H545)</f>
        <v>300000</v>
      </c>
      <c r="J545" s="96"/>
      <c r="K545" s="98"/>
      <c r="L545" s="154">
        <f aca="true" t="shared" si="210" ref="L545:L550">SUM(I545:K545)</f>
        <v>300000</v>
      </c>
      <c r="M545" s="96"/>
      <c r="N545" s="98"/>
      <c r="O545" s="94">
        <f aca="true" t="shared" si="211" ref="O545:O550">SUM(L545:N545)</f>
        <v>300000</v>
      </c>
      <c r="P545" s="187"/>
      <c r="Q545" s="171">
        <f t="shared" si="189"/>
        <v>300000</v>
      </c>
      <c r="R545" s="171">
        <v>10634.23</v>
      </c>
      <c r="S545" s="168">
        <f t="shared" si="195"/>
        <v>3.5447433333333334</v>
      </c>
    </row>
    <row r="546" spans="1:19" ht="13.5">
      <c r="A546" s="34" t="s">
        <v>172</v>
      </c>
      <c r="B546" s="66"/>
      <c r="C546" s="96">
        <v>-162500</v>
      </c>
      <c r="D546" s="98"/>
      <c r="E546" s="98"/>
      <c r="F546" s="94">
        <f t="shared" si="208"/>
        <v>-162500</v>
      </c>
      <c r="G546" s="96"/>
      <c r="H546" s="98"/>
      <c r="I546" s="94">
        <f t="shared" si="209"/>
        <v>-162500</v>
      </c>
      <c r="J546" s="96"/>
      <c r="K546" s="98"/>
      <c r="L546" s="154">
        <f t="shared" si="210"/>
        <v>-162500</v>
      </c>
      <c r="M546" s="96"/>
      <c r="N546" s="98"/>
      <c r="O546" s="94">
        <f t="shared" si="211"/>
        <v>-162500</v>
      </c>
      <c r="P546" s="187"/>
      <c r="Q546" s="171">
        <f t="shared" si="189"/>
        <v>-162500</v>
      </c>
      <c r="R546" s="171">
        <v>-162500</v>
      </c>
      <c r="S546" s="168">
        <f t="shared" si="195"/>
        <v>100</v>
      </c>
    </row>
    <row r="547" spans="1:19" ht="13.5" hidden="1">
      <c r="A547" s="34" t="s">
        <v>164</v>
      </c>
      <c r="B547" s="67"/>
      <c r="C547" s="96"/>
      <c r="D547" s="97"/>
      <c r="E547" s="98"/>
      <c r="F547" s="94">
        <f t="shared" si="208"/>
        <v>0</v>
      </c>
      <c r="G547" s="96"/>
      <c r="H547" s="98"/>
      <c r="I547" s="94">
        <f t="shared" si="209"/>
        <v>0</v>
      </c>
      <c r="J547" s="96"/>
      <c r="K547" s="98"/>
      <c r="L547" s="154">
        <f t="shared" si="210"/>
        <v>0</v>
      </c>
      <c r="M547" s="96"/>
      <c r="N547" s="98"/>
      <c r="O547" s="94">
        <f t="shared" si="211"/>
        <v>0</v>
      </c>
      <c r="P547" s="187"/>
      <c r="Q547" s="171">
        <f t="shared" si="189"/>
        <v>0</v>
      </c>
      <c r="R547" s="171"/>
      <c r="S547" s="168" t="e">
        <f t="shared" si="195"/>
        <v>#DIV/0!</v>
      </c>
    </row>
    <row r="548" spans="1:19" ht="13.5" hidden="1">
      <c r="A548" s="33" t="s">
        <v>165</v>
      </c>
      <c r="B548" s="67"/>
      <c r="C548" s="96"/>
      <c r="D548" s="98"/>
      <c r="E548" s="98"/>
      <c r="F548" s="94">
        <f t="shared" si="208"/>
        <v>0</v>
      </c>
      <c r="G548" s="96"/>
      <c r="H548" s="98"/>
      <c r="I548" s="94">
        <f t="shared" si="209"/>
        <v>0</v>
      </c>
      <c r="J548" s="96"/>
      <c r="K548" s="98"/>
      <c r="L548" s="154">
        <f t="shared" si="210"/>
        <v>0</v>
      </c>
      <c r="M548" s="96"/>
      <c r="N548" s="98"/>
      <c r="O548" s="94">
        <f t="shared" si="211"/>
        <v>0</v>
      </c>
      <c r="P548" s="187"/>
      <c r="Q548" s="171">
        <f t="shared" si="189"/>
        <v>0</v>
      </c>
      <c r="R548" s="171"/>
      <c r="S548" s="168" t="e">
        <f t="shared" si="195"/>
        <v>#DIV/0!</v>
      </c>
    </row>
    <row r="549" spans="1:19" ht="13.5">
      <c r="A549" s="34" t="s">
        <v>166</v>
      </c>
      <c r="B549" s="66"/>
      <c r="C549" s="96"/>
      <c r="D549" s="98">
        <f>2632.8+500822.21+8444.5+15000+10295.87+82230.96+15551.23+10996+1558+32850.1+646.9+835.4+6465+16763.4+34971.82+172.19+59009.05+1840.36+120.61+4000+1600+753.85+2763.99+826.46+653.45+992.72+19787.05+1000+2125+5519.4+626.75+1640+237124.3+3264.31+176.3+240.01+2044.9+3728.92+55.3</f>
        <v>1090129.1099999999</v>
      </c>
      <c r="E549" s="98">
        <v>1425</v>
      </c>
      <c r="F549" s="94">
        <f t="shared" si="208"/>
        <v>1091554.1099999999</v>
      </c>
      <c r="G549" s="96">
        <f>636.03+200+526.35+28015.08-2559.76</f>
        <v>26817.700000000004</v>
      </c>
      <c r="H549" s="98">
        <f>21194+7271.86</f>
        <v>28465.86</v>
      </c>
      <c r="I549" s="94">
        <f t="shared" si="209"/>
        <v>1146837.67</v>
      </c>
      <c r="J549" s="96"/>
      <c r="K549" s="98"/>
      <c r="L549" s="154">
        <f t="shared" si="210"/>
        <v>1146837.67</v>
      </c>
      <c r="M549" s="96"/>
      <c r="N549" s="98"/>
      <c r="O549" s="94">
        <f t="shared" si="211"/>
        <v>1146837.67</v>
      </c>
      <c r="P549" s="187"/>
      <c r="Q549" s="171">
        <f t="shared" si="189"/>
        <v>1146837.67</v>
      </c>
      <c r="R549" s="171">
        <v>-231193.62</v>
      </c>
      <c r="S549" s="169" t="s">
        <v>384</v>
      </c>
    </row>
    <row r="550" spans="1:19" ht="13.5" customHeight="1" thickBot="1">
      <c r="A550" s="40" t="s">
        <v>201</v>
      </c>
      <c r="B550" s="68"/>
      <c r="C550" s="79"/>
      <c r="D550" s="99" t="s">
        <v>305</v>
      </c>
      <c r="E550" s="99"/>
      <c r="F550" s="95">
        <f t="shared" si="208"/>
        <v>0</v>
      </c>
      <c r="G550" s="112"/>
      <c r="H550" s="99">
        <v>1836.76</v>
      </c>
      <c r="I550" s="95">
        <f t="shared" si="209"/>
        <v>1836.76</v>
      </c>
      <c r="J550" s="112">
        <v>0</v>
      </c>
      <c r="K550" s="99">
        <v>0</v>
      </c>
      <c r="L550" s="155">
        <f t="shared" si="210"/>
        <v>1836.76</v>
      </c>
      <c r="M550" s="112"/>
      <c r="N550" s="99"/>
      <c r="O550" s="95">
        <f t="shared" si="211"/>
        <v>1836.76</v>
      </c>
      <c r="P550" s="205"/>
      <c r="Q550" s="164">
        <f t="shared" si="189"/>
        <v>1836.76</v>
      </c>
      <c r="R550" s="164">
        <v>0</v>
      </c>
      <c r="S550" s="184">
        <f t="shared" si="195"/>
        <v>0</v>
      </c>
    </row>
    <row r="551" spans="2:18" ht="12.75" hidden="1">
      <c r="B551" s="69"/>
      <c r="C551" s="100">
        <f aca="true" t="shared" si="212" ref="C551:R551">C105+C543-C538</f>
        <v>0</v>
      </c>
      <c r="D551" s="100">
        <f t="shared" si="212"/>
        <v>0</v>
      </c>
      <c r="E551" s="100">
        <f t="shared" si="212"/>
        <v>0</v>
      </c>
      <c r="F551" s="100">
        <f t="shared" si="212"/>
        <v>0</v>
      </c>
      <c r="G551" s="100">
        <f t="shared" si="212"/>
        <v>0</v>
      </c>
      <c r="H551" s="39">
        <f t="shared" si="212"/>
        <v>0</v>
      </c>
      <c r="I551" s="129">
        <f t="shared" si="212"/>
        <v>0</v>
      </c>
      <c r="J551" s="100">
        <f t="shared" si="212"/>
        <v>0</v>
      </c>
      <c r="K551" s="100">
        <f t="shared" si="212"/>
        <v>0</v>
      </c>
      <c r="L551" s="100">
        <f t="shared" si="212"/>
        <v>0</v>
      </c>
      <c r="M551" s="100">
        <f t="shared" si="212"/>
        <v>0</v>
      </c>
      <c r="N551" s="100">
        <f t="shared" si="212"/>
        <v>0</v>
      </c>
      <c r="O551" s="100">
        <f t="shared" si="212"/>
        <v>0</v>
      </c>
      <c r="P551" s="129">
        <f t="shared" si="212"/>
        <v>0</v>
      </c>
      <c r="Q551" s="129">
        <f t="shared" si="212"/>
        <v>0</v>
      </c>
      <c r="R551" s="129">
        <f t="shared" si="212"/>
        <v>0</v>
      </c>
    </row>
    <row r="552" spans="2:17" ht="12.75">
      <c r="B552" s="69"/>
      <c r="P552" s="129"/>
      <c r="Q552" s="129"/>
    </row>
    <row r="553" spans="2:17" ht="12.75">
      <c r="B553" s="69"/>
      <c r="P553" s="129"/>
      <c r="Q553" s="129"/>
    </row>
    <row r="554" spans="2:17" ht="12.75">
      <c r="B554" s="69"/>
      <c r="P554" s="129"/>
      <c r="Q554" s="129"/>
    </row>
    <row r="555" spans="2:17" ht="12.75">
      <c r="B555" s="69"/>
      <c r="P555" s="129"/>
      <c r="Q555" s="129"/>
    </row>
    <row r="556" spans="2:17" ht="12.75">
      <c r="B556" s="69"/>
      <c r="P556" s="129"/>
      <c r="Q556" s="129"/>
    </row>
    <row r="557" spans="2:17" ht="12.75">
      <c r="B557" s="69"/>
      <c r="P557" s="129"/>
      <c r="Q557" s="129"/>
    </row>
    <row r="558" spans="2:17" ht="12.75">
      <c r="B558" s="69"/>
      <c r="P558" s="129"/>
      <c r="Q558" s="129"/>
    </row>
    <row r="559" spans="2:17" ht="12.75">
      <c r="B559" s="69"/>
      <c r="P559" s="129"/>
      <c r="Q559" s="129"/>
    </row>
    <row r="560" spans="2:17" ht="12.75">
      <c r="B560" s="69"/>
      <c r="P560" s="129"/>
      <c r="Q560" s="129"/>
    </row>
    <row r="561" spans="2:16" ht="12.75">
      <c r="B561" s="69"/>
      <c r="P561" s="39"/>
    </row>
    <row r="562" spans="2:16" ht="12.75">
      <c r="B562" s="69"/>
      <c r="P562" s="39"/>
    </row>
    <row r="563" spans="2:16" ht="12.75">
      <c r="B563" s="69"/>
      <c r="P563" s="39"/>
    </row>
    <row r="564" spans="2:16" ht="12.75">
      <c r="B564" s="69"/>
      <c r="P564" s="39"/>
    </row>
    <row r="565" spans="2:16" ht="12.75">
      <c r="B565" s="69"/>
      <c r="P565" s="39"/>
    </row>
    <row r="566" spans="2:16" ht="12.75">
      <c r="B566" s="69"/>
      <c r="P566" s="39"/>
    </row>
    <row r="567" spans="2:16" ht="12.75">
      <c r="B567" s="69"/>
      <c r="P567" s="39"/>
    </row>
    <row r="568" spans="2:16" ht="12.75">
      <c r="B568" s="69"/>
      <c r="P568" s="39"/>
    </row>
    <row r="569" spans="2:16" ht="12.75">
      <c r="B569" s="69"/>
      <c r="P569" s="39"/>
    </row>
    <row r="570" spans="2:16" ht="12.75">
      <c r="B570" s="69"/>
      <c r="P570" s="39"/>
    </row>
    <row r="571" ht="12.75">
      <c r="P571" s="39"/>
    </row>
    <row r="572" ht="12.75">
      <c r="P572" s="39"/>
    </row>
    <row r="573" ht="12.75">
      <c r="P573" s="39"/>
    </row>
    <row r="574" ht="12.75">
      <c r="P574" s="39"/>
    </row>
    <row r="575" ht="12.75">
      <c r="P575" s="39"/>
    </row>
    <row r="576" ht="12.75">
      <c r="P576" s="39"/>
    </row>
    <row r="577" ht="12.75">
      <c r="P577" s="39"/>
    </row>
    <row r="578" ht="12.75">
      <c r="P578" s="39"/>
    </row>
    <row r="579" ht="12.75">
      <c r="P579" s="39"/>
    </row>
    <row r="580" ht="12.75">
      <c r="P580" s="39"/>
    </row>
    <row r="581" ht="12.75">
      <c r="P581" s="39"/>
    </row>
    <row r="582" ht="12.75">
      <c r="P582" s="39"/>
    </row>
    <row r="583" ht="12.75">
      <c r="P583" s="39"/>
    </row>
  </sheetData>
  <sheetProtection/>
  <mergeCells count="6">
    <mergeCell ref="A2:S2"/>
    <mergeCell ref="A3:S3"/>
    <mergeCell ref="A4:S4"/>
    <mergeCell ref="R1:S1"/>
    <mergeCell ref="A6:A7"/>
    <mergeCell ref="S6:S7"/>
  </mergeCells>
  <printOptions horizontalCentered="1"/>
  <pageMargins left="0.1968503937007874" right="0.1968503937007874" top="0.7086614173228347" bottom="0.3937007874015748" header="0.5118110236220472" footer="0.11811023622047245"/>
  <pageSetup horizontalDpi="600" verticalDpi="600" orientation="portrait" paperSize="9" scale="80" r:id="rId1"/>
  <headerFooter alignWithMargins="0">
    <oddFooter>&amp;CStránka &amp;P&amp;RTab.č.1 Čerpání rozpočtu KHK k 31.12.2015
</oddFooter>
  </headerFooter>
  <rowBreaks count="6" manualBreakCount="6">
    <brk id="78" max="255" man="1"/>
    <brk id="176" max="255" man="1"/>
    <brk id="282" max="255" man="1"/>
    <brk id="366" max="255" man="1"/>
    <brk id="451" max="255" man="1"/>
    <brk id="5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2016-04-28T08:02:22Z</cp:lastPrinted>
  <dcterms:created xsi:type="dcterms:W3CDTF">2009-01-05T12:05:07Z</dcterms:created>
  <dcterms:modified xsi:type="dcterms:W3CDTF">2016-04-28T08:02:26Z</dcterms:modified>
  <cp:category/>
  <cp:version/>
  <cp:contentType/>
  <cp:contentStatus/>
</cp:coreProperties>
</file>