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Čerpání k 31.12.2016" sheetId="1" r:id="rId1"/>
  </sheets>
  <definedNames>
    <definedName name="_xlnm.Print_Titles" localSheetId="0">'Čerpání k 31.12.2016'!$6:$7</definedName>
    <definedName name="_xlnm.Print_Area" localSheetId="0">'Čerpání k 31.12.2016'!$A$1:$S$560</definedName>
    <definedName name="Z_39FD50E0_9911_4D32_8842_5A58F13D310F_.wvu.Cols" localSheetId="0" hidden="1">'Čerpání k 31.12.2016'!$D:$K,'Čerpání k 31.12.2016'!$N:$N,'Čerpání k 31.12.2016'!#REF!</definedName>
    <definedName name="Z_39FD50E0_9911_4D32_8842_5A58F13D310F_.wvu.PrintTitles" localSheetId="0" hidden="1">'Čerpání k 31.12.2016'!$6:$7</definedName>
    <definedName name="Z_39FD50E0_9911_4D32_8842_5A58F13D310F_.wvu.Rows" localSheetId="0" hidden="1">'Čerpání k 31.12.2016'!#REF!</definedName>
  </definedNames>
  <calcPr fullCalcOnLoad="1"/>
</workbook>
</file>

<file path=xl/sharedStrings.xml><?xml version="1.0" encoding="utf-8"?>
<sst xmlns="http://schemas.openxmlformats.org/spreadsheetml/2006/main" count="654" uniqueCount="415">
  <si>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</si>
  <si>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</si>
  <si>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</si>
  <si>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</si>
  <si>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</si>
  <si>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</si>
  <si>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</si>
  <si>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</si>
  <si>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</si>
  <si>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</si>
  <si>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</si>
  <si>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</si>
  <si>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</si>
  <si>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</si>
  <si>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</si>
  <si>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</si>
  <si>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</si>
  <si>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</si>
  <si>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</si>
  <si>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</si>
  <si>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</si>
  <si>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</si>
  <si>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</si>
  <si>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</si>
  <si>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</si>
  <si>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</si>
  <si>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</si>
  <si>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</si>
  <si>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</si>
  <si>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</si>
  <si>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</si>
  <si>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</si>
  <si>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</si>
  <si>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</si>
  <si>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</si>
  <si>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</si>
  <si>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</si>
  <si>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</si>
  <si>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</si>
  <si>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</si>
  <si>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</si>
  <si>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</si>
  <si>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</si>
  <si>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</si>
  <si>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</si>
  <si>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</si>
  <si>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</si>
  <si>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</si>
  <si>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</si>
  <si>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</si>
  <si>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</si>
  <si>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</si>
  <si>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</si>
  <si>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</si>
  <si>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</si>
  <si>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</si>
  <si>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</si>
  <si>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</si>
  <si>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</si>
  <si>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</si>
  <si>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</si>
  <si>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</si>
  <si>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</si>
  <si>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</si>
  <si>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</si>
  <si>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</si>
  <si>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</si>
  <si>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</si>
  <si>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</si>
  <si>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</si>
  <si>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</si>
  <si>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</si>
  <si>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</si>
  <si>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</si>
  <si>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</si>
  <si>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</si>
  <si>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</si>
  <si>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</si>
  <si>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</si>
  <si>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</si>
  <si>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</si>
  <si>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</si>
  <si>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</si>
  <si>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</si>
  <si>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</si>
  <si>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</si>
  <si>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</si>
  <si>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</si>
  <si>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</si>
  <si>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</si>
  <si>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</si>
  <si>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</si>
  <si>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</si>
  <si>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</si>
  <si>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</si>
  <si>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</si>
  <si>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</si>
  <si>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</si>
  <si>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</si>
  <si>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</si>
  <si>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</si>
  <si>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</si>
  <si>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</si>
  <si>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</si>
  <si>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</si>
  <si>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</si>
  <si>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</si>
  <si>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</si>
  <si>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</si>
  <si>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</si>
  <si>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</si>
  <si>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</si>
  <si>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</si>
  <si>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</si>
  <si>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</si>
  <si>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</si>
  <si>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</si>
  <si>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</si>
  <si>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</si>
  <si>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</si>
  <si>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</si>
  <si>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</si>
  <si>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</si>
  <si>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</si>
  <si>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</si>
  <si>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</si>
  <si>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</si>
  <si>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</si>
  <si>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</si>
  <si>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</si>
  <si>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</si>
  <si>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</si>
  <si>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</si>
  <si>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</si>
  <si>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</si>
  <si>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</si>
  <si>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</si>
  <si>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</si>
  <si>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</si>
  <si>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</si>
  <si>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</si>
  <si>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</si>
  <si>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</si>
  <si>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</si>
  <si>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</si>
  <si>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</si>
  <si>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</si>
  <si>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</si>
  <si>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</si>
  <si>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</si>
  <si>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</si>
  <si>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</si>
  <si>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</si>
  <si>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</si>
  <si>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</si>
  <si>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</si>
  <si>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</si>
  <si>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</si>
  <si>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</si>
  <si>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</si>
  <si>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odměny vč. refundací a náhrad mezd v době nemoci</t>
  </si>
  <si>
    <t>platy zam.a ost.pl.za prov.práci vč.náhr.mezd v době nem.</t>
  </si>
  <si>
    <t>splátky úvěru</t>
  </si>
  <si>
    <t>GG VK 3.2 - Podpora nabídky dalšího vzdělávání - SR</t>
  </si>
  <si>
    <t>Projekt technické pomoci OPPS ČR-PR 2007-2013 - SR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</si>
  <si>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</si>
  <si>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</si>
  <si>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</si>
  <si>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</si>
  <si>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</si>
  <si>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</si>
  <si>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</si>
  <si>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</si>
  <si>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</si>
  <si>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</si>
  <si>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OPVK - cizí jazyky v podm.Společ.evrop.refer.rámce-SR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</si>
  <si>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</si>
  <si>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</si>
  <si>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</si>
  <si>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 xml:space="preserve">podpora vzděl.národ.menšin a multikult.výchovy - SR </t>
  </si>
  <si>
    <t>školní vybavení pro žáky 1.ročníku zákl.vzděl. - SR</t>
  </si>
  <si>
    <t xml:space="preserve">OP VK 5. 2. - Publicita a informovanost - SR </t>
  </si>
  <si>
    <t xml:space="preserve">OP VK 5.3. - Podpora tvorby a přípravy projektů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</si>
  <si>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</si>
  <si>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</si>
  <si>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</si>
  <si>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</si>
  <si>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</si>
  <si>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</si>
  <si>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</si>
  <si>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</si>
  <si>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</si>
  <si>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</si>
  <si>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</si>
  <si>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</si>
  <si>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</si>
  <si>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</si>
  <si>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</si>
  <si>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</si>
  <si>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OP LZZ - zvýš.kvality řízení v úřadech úz.veř.spr.-SR</t>
  </si>
  <si>
    <t xml:space="preserve">ROP silnice a mosty - vratka dotace RRRS SV </t>
  </si>
  <si>
    <t>Dobrovolnictví na Náchodsku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</si>
  <si>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</si>
  <si>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</si>
  <si>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</si>
  <si>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</si>
  <si>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</si>
  <si>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</si>
  <si>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</si>
  <si>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</si>
  <si>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</si>
  <si>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</si>
  <si>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</si>
  <si>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</si>
  <si>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</si>
  <si>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</si>
  <si>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</si>
  <si>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</si>
  <si>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</si>
  <si>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</si>
  <si>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</si>
  <si>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</si>
  <si>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</si>
  <si>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</si>
  <si>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</si>
  <si>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</si>
  <si>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</si>
  <si>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</si>
  <si>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</si>
  <si>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</si>
  <si>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</si>
  <si>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</si>
  <si>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</si>
  <si>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 xml:space="preserve">             org. 7777</t>
  </si>
  <si>
    <t>SU AU</t>
  </si>
  <si>
    <t>ÚZ</t>
  </si>
  <si>
    <t>ÚZ 70</t>
  </si>
  <si>
    <t>org. 21</t>
  </si>
  <si>
    <t>org. 60</t>
  </si>
  <si>
    <t xml:space="preserve">OP VK 5.1. - Technická pomoc - administrace 2 - SR </t>
  </si>
  <si>
    <t>podpora soc.znevýh.romských žáků SŠ a stud.VOŠ - SR</t>
  </si>
  <si>
    <t xml:space="preserve">OP LZZ - rozvoj lektorského týmu - SR </t>
  </si>
  <si>
    <t xml:space="preserve">             školství</t>
  </si>
  <si>
    <t xml:space="preserve">             evropská integrace - ostatní</t>
  </si>
  <si>
    <t>OJ 62</t>
  </si>
  <si>
    <t>OJ 61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</si>
  <si>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</si>
  <si>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</si>
  <si>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</si>
  <si>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</si>
  <si>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 xml:space="preserve">OP LZZ Rozvoj dostup.a kvality soc.sl.v KHK IV - SR 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</si>
  <si>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</si>
  <si>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</si>
  <si>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</si>
  <si>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</si>
  <si>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</si>
  <si>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OP LZZ Rozvoj dostup.a kvality soc.sl.v KHK III - SR 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</si>
  <si>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</si>
  <si>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</si>
  <si>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</si>
  <si>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</si>
  <si>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</si>
  <si>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</si>
  <si>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</si>
  <si>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</si>
  <si>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</si>
  <si>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</si>
  <si>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</si>
  <si>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</si>
  <si>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</si>
  <si>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Strategie integr.spolupr.česko-polského příhr.II - SR  2014</t>
  </si>
  <si>
    <t>GG 1.1.OPVK-Zvyšování kvality ve vzděl.- SR  2014</t>
  </si>
  <si>
    <t>GG1.3.OPVK-Další vzděl.prac.škol a zař. - SR 2014</t>
  </si>
  <si>
    <t>GG 1.1.OPVK-Zvyšování kvality ve vzdělávání - SR r.2014</t>
  </si>
  <si>
    <t>GG 1.2.OPVK-Rovné přílež.dětí a ž.se sp.potř.- SR r.2014</t>
  </si>
  <si>
    <t>GG1.3.OPVK-Další vzděl.prac.škol a zař. - SR r.2014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</si>
  <si>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</si>
  <si>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</si>
  <si>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</si>
  <si>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org. 8888</t>
  </si>
  <si>
    <t xml:space="preserve">                 správa majetku kraje</t>
  </si>
  <si>
    <t xml:space="preserve"> </t>
  </si>
  <si>
    <t>příjmy z pronájmu majetku -  odvětví správa majetku kraje</t>
  </si>
  <si>
    <t xml:space="preserve">  z Úřadu práce</t>
  </si>
  <si>
    <t>odborná praxe pro mladé do 30 let v KHK - z Úřadu práce</t>
  </si>
  <si>
    <t>OP LZZ - vzdělávání v eGON centrech krajů - SR 2014</t>
  </si>
  <si>
    <t>OP LZZ - zvýš.kvality řízení v úřadech úz.veř.spr.-SR 2014</t>
  </si>
  <si>
    <t xml:space="preserve">investiční transfery a.s. ZOO Dvůr Králové n. L. </t>
  </si>
  <si>
    <t>regionální rozvoj</t>
  </si>
  <si>
    <t xml:space="preserve">investiční transfer - CIRI </t>
  </si>
  <si>
    <t>poskytovatelé sociálních služeb dle Z.108/2006 Sb. - SR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</si>
  <si>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</si>
  <si>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</si>
  <si>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</si>
  <si>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</si>
  <si>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Modernizace a dostavba ON Náchod (úvěr 280 644,6 mil.)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</si>
  <si>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</si>
  <si>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</si>
  <si>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</si>
  <si>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</si>
  <si>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</si>
  <si>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</si>
  <si>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</si>
  <si>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 xml:space="preserve">                 org. 7777</t>
  </si>
  <si>
    <t xml:space="preserve">                 org. 9999</t>
  </si>
  <si>
    <t>financování asistentů pedagoga - modul A - SR</t>
  </si>
  <si>
    <t>financování asistentů pedagoga - modul B - SR</t>
  </si>
  <si>
    <t xml:space="preserve">                        investice a evrop.projekty</t>
  </si>
  <si>
    <t>majetková účast v a.s. Zdravotnický holding</t>
  </si>
  <si>
    <t>individuální dotace</t>
  </si>
  <si>
    <t>33122  33163</t>
  </si>
  <si>
    <t>Digitální planetárium - SR 2015</t>
  </si>
  <si>
    <t>OP LZZ Rozvoj dostup.a kvality soc.sl.v KHK III - SR 2015</t>
  </si>
  <si>
    <t>OP LZZ Rozvoj dostup.a kvality soc.sl.v KHK IV - SR 2015</t>
  </si>
  <si>
    <t>OP LZZ Služby soc.prevence v KHK II - SR 2015</t>
  </si>
  <si>
    <t>GG VK 3.2 - Podpora nabídky dalšího vzdělávání - SR 2015</t>
  </si>
  <si>
    <t>Projekt technické pomoci OPPS ČR-PR 2007-2013 - SR 2015</t>
  </si>
  <si>
    <t>Strategie integr.spolupr.česko-polského příhr.- SR  2015</t>
  </si>
  <si>
    <t>OP VK - Podpora přírod.a techn. vzdělávání v KHK - SR 2015</t>
  </si>
  <si>
    <t>OP VK 5. 2. - Publicita a informovanost - SR 2015</t>
  </si>
  <si>
    <t>OP VK 5.3. - Podpora tvorby a přípravy projektů - SR 2015</t>
  </si>
  <si>
    <t>2GG 1.1.OPVK-Zvyšování kvality ve vzděl.II. - SR 2015</t>
  </si>
  <si>
    <t>GG 1.2.OPVK-Rovné příl.dětí a ž.se sp.potř.-SR 2015</t>
  </si>
  <si>
    <t>2GG 1.2.OPVK-Rovné příl.dětí a ž.se sp.potř. II. - SR 2015</t>
  </si>
  <si>
    <t>2GG1.3.OPVK-Další vzděl.prac.škol a zař.  II. - SR 2015</t>
  </si>
  <si>
    <t xml:space="preserve">            volný čas</t>
  </si>
  <si>
    <t xml:space="preserve">  z M obrany</t>
  </si>
  <si>
    <t>podpora odborného vzdělávání - SR</t>
  </si>
  <si>
    <t>Digitální planetárium - zásobník na chlad</t>
  </si>
  <si>
    <t>nedaňové příjmy odvětví dotační fond</t>
  </si>
  <si>
    <t>Saldo příjmů a výdajů</t>
  </si>
  <si>
    <t xml:space="preserve">   v tom: CIRI, PO</t>
  </si>
  <si>
    <t>volný čas</t>
  </si>
  <si>
    <t>AU5400,4500</t>
  </si>
  <si>
    <t>org.5062</t>
  </si>
  <si>
    <t>OJ 63</t>
  </si>
  <si>
    <t>OJ 80</t>
  </si>
  <si>
    <t>OJ 51,OJ 81</t>
  </si>
  <si>
    <t>AU 5000</t>
  </si>
  <si>
    <t>ÚZ 53</t>
  </si>
  <si>
    <t>ÚZ 51</t>
  </si>
  <si>
    <t>průmyslová zóna Kvasiny III.</t>
  </si>
  <si>
    <t>průmyslová zóna  Kvasiny</t>
  </si>
  <si>
    <t>naplňování koncepce podpory mládeže - SR</t>
  </si>
  <si>
    <t>podpora soutěží a přehlídek v zájmovém vzdělávání - SR</t>
  </si>
  <si>
    <t>národní program řešení problematiky HIV/AIDS - SR</t>
  </si>
  <si>
    <t>průmyslová zóna Vrchlabí - SR</t>
  </si>
  <si>
    <t>Technologické vybavení ZZS KHK  - SR</t>
  </si>
  <si>
    <t>plán odpadového hospodářství KHK na léta 2015-2024 - SR</t>
  </si>
  <si>
    <t xml:space="preserve">   v tom: rezerva investiční</t>
  </si>
  <si>
    <t xml:space="preserve">             poplatky</t>
  </si>
  <si>
    <t>podpora implement.etické výchovy v ZŠ a vícel.gymn. - SR</t>
  </si>
  <si>
    <t>program prevence kriminality - SR</t>
  </si>
  <si>
    <t>org.6</t>
  </si>
  <si>
    <t>kontaktní centrum a terénní služby RIAPS Trutnov - SR</t>
  </si>
  <si>
    <t>nedaňové příjmy odvětví regionální rozvoj</t>
  </si>
  <si>
    <t>navýšení kapacit ve školských porad.zařízeních - SR</t>
  </si>
  <si>
    <t xml:space="preserve">nedaňové příjmy FRR </t>
  </si>
  <si>
    <t>sdílené daně</t>
  </si>
  <si>
    <t xml:space="preserve">  od obcí a DSO</t>
  </si>
  <si>
    <t>nedaňové příjmy odvětví investic</t>
  </si>
  <si>
    <t>podpora výchovně vzdělávacích aktivit v muzejnictví - SR</t>
  </si>
  <si>
    <t>krizová připravenost ZZS KHK - SR</t>
  </si>
  <si>
    <t>preventivní ochrana před nepřízn. vlivy prostředí - SR</t>
  </si>
  <si>
    <t>výkon sociální práce v KHK - SR</t>
  </si>
  <si>
    <t>protiradonová opatření - SR</t>
  </si>
  <si>
    <t>Krajský akční plán vzdělávání v KHK - SR</t>
  </si>
  <si>
    <t xml:space="preserve">             doprava</t>
  </si>
  <si>
    <t>OP Z projekty PO - SR</t>
  </si>
  <si>
    <t>EFEKT - energetická koncepce - SR</t>
  </si>
  <si>
    <t xml:space="preserve">Modernizace a dostavba ON Náchod </t>
  </si>
  <si>
    <t>OP Z Rozvoj reg.partnerství v sociální oblasti na území KHK-SR</t>
  </si>
  <si>
    <t xml:space="preserve">OP Z Služby soc.prevence v KHK IV - SR </t>
  </si>
  <si>
    <t>veřejné služby muzeí a galerií - SR</t>
  </si>
  <si>
    <t>výstavba váleč. hrobu obětí prusko-rakouské války-SR</t>
  </si>
  <si>
    <t>bezpl. výuka ČJ přizpůs.potřebám žáků-cizinců - SR</t>
  </si>
  <si>
    <t>vybavení šk.porad. zařízení diagnost.nástroji - SR</t>
  </si>
  <si>
    <t>volby do Senátu ČR a zastupitelstev krajů - SR</t>
  </si>
  <si>
    <t>ukončování střed.vzděl.mat.zk.v podzimním zkuš.obd. - SR</t>
  </si>
  <si>
    <t>průmyslová zóna Kvasiny - SR</t>
  </si>
  <si>
    <t>příjmy z dividend - odvětví doprava</t>
  </si>
  <si>
    <t>SOL Trutnov-opr.střechy,zatepl.,reg.topení na bud.Bedřichov-SR</t>
  </si>
  <si>
    <t>Třída 5, 6 - VÝDAJE</t>
  </si>
  <si>
    <t>Třída 8 - Financování</t>
  </si>
  <si>
    <t>excelence základních škol - SR</t>
  </si>
  <si>
    <t>DP na podporu samosprávy v oblasti stárnutí</t>
  </si>
  <si>
    <t>Třída 1 - Daňové příjmy</t>
  </si>
  <si>
    <t>Třída 2 - Nedaňové příjmy</t>
  </si>
  <si>
    <t>Třída 3 - Kapitálové příjmy</t>
  </si>
  <si>
    <t>Třída 4 - Přijaté transfery</t>
  </si>
  <si>
    <t>Třída 5 - Běžné výdaje</t>
  </si>
  <si>
    <t>Třída 6 - Kapitálové výdaje</t>
  </si>
  <si>
    <t>Skutečnost</t>
  </si>
  <si>
    <t>%</t>
  </si>
  <si>
    <t>správní poplatky</t>
  </si>
  <si>
    <t>Upravený</t>
  </si>
  <si>
    <t>Tabulka č. 1</t>
  </si>
  <si>
    <t>ČERPÁNÍ ROZPOČTU KRÁLOVÉHRADECKÉHO KRAJE</t>
  </si>
  <si>
    <t>k 31. 12.  2016</t>
  </si>
  <si>
    <t>k 31.12.2016</t>
  </si>
  <si>
    <t>x</t>
  </si>
  <si>
    <t>nedaňové příjmy odvětví kultura</t>
  </si>
  <si>
    <t>nedaňové příjmy ostatní</t>
  </si>
  <si>
    <t>nedaňové příjmy odvětví zastupitelstvo kraje</t>
  </si>
  <si>
    <t>dotace na činnost - SR</t>
  </si>
  <si>
    <t>vratky návratných finančních výpomocí</t>
  </si>
  <si>
    <t xml:space="preserve">GG VK 3.2 - Podpora nabídky dalšího vzdělávání - SR </t>
  </si>
  <si>
    <t>OP VK 5.1. - Technická pomoc - administrace 2 - SR</t>
  </si>
  <si>
    <t xml:space="preserve">2GG 1.1.OPVK-Zvyšování kvality ve vzděl.II. - SR </t>
  </si>
  <si>
    <t xml:space="preserve">2GG 1.2.OPVK-Rovné příl.dětí a ž.se sp.potř. II. - SR </t>
  </si>
  <si>
    <t xml:space="preserve">2GG1.3.OPVK-Další vzděl.prac.škol a zař.  II. - SR </t>
  </si>
  <si>
    <t xml:space="preserve">Digitální planetárium - SR </t>
  </si>
  <si>
    <t xml:space="preserve">OP LZZ Služby soc.prevence v KHK III - SR </t>
  </si>
  <si>
    <t xml:space="preserve">OP Z Rozvoj dostup.a kvality soc.sl.v KHK V - SR </t>
  </si>
  <si>
    <t>OP Z Zaměstnaný absolvent - 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</si>
</sst>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_ ;\-#,##0.0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8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6" xfId="0" applyBorder="1" applyAlignment="1">
      <alignment/>
    </xf>
    <xf numFmtId="3" fontId="0" fillId="0" borderId="15" xfId="0" applyFont="1" applyBorder="1" applyAlignment="1">
      <alignment/>
    </xf>
    <xf numFmtId="3" fontId="3" fillId="0" borderId="17" xfId="0" applyFont="1" applyBorder="1" applyAlignment="1">
      <alignment vertical="center"/>
    </xf>
    <xf numFmtId="3" fontId="6" fillId="0" borderId="15" xfId="0" applyFont="1" applyBorder="1" applyAlignment="1">
      <alignment/>
    </xf>
    <xf numFmtId="3" fontId="6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7" fillId="0" borderId="15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4" fillId="0" borderId="15" xfId="0" applyFont="1" applyFill="1" applyBorder="1" applyAlignment="1">
      <alignment/>
    </xf>
    <xf numFmtId="3" fontId="0" fillId="0" borderId="15" xfId="0" applyFill="1" applyBorder="1" applyAlignment="1">
      <alignment/>
    </xf>
    <xf numFmtId="3" fontId="4" fillId="0" borderId="17" xfId="0" applyFont="1" applyBorder="1" applyAlignment="1">
      <alignment/>
    </xf>
    <xf numFmtId="3" fontId="2" fillId="0" borderId="18" xfId="0" applyFont="1" applyBorder="1" applyAlignment="1">
      <alignment vertical="center"/>
    </xf>
    <xf numFmtId="3" fontId="4" fillId="0" borderId="18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0" fillId="0" borderId="15" xfId="0" applyFont="1" applyBorder="1" applyAlignment="1">
      <alignment vertical="center"/>
    </xf>
    <xf numFmtId="3" fontId="0" fillId="0" borderId="15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5" xfId="0" applyFont="1" applyBorder="1" applyAlignment="1">
      <alignment horizontal="left" vertical="center"/>
    </xf>
    <xf numFmtId="165" fontId="4" fillId="0" borderId="20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7" xfId="0" applyBorder="1" applyAlignment="1">
      <alignment vertical="center"/>
    </xf>
    <xf numFmtId="3" fontId="47" fillId="0" borderId="0" xfId="0" applyFont="1" applyAlignment="1">
      <alignment/>
    </xf>
    <xf numFmtId="3" fontId="7" fillId="0" borderId="24" xfId="0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3" fontId="0" fillId="0" borderId="14" xfId="0" applyBorder="1" applyAlignment="1">
      <alignment/>
    </xf>
    <xf numFmtId="3" fontId="4" fillId="0" borderId="27" xfId="0" applyFont="1" applyBorder="1" applyAlignment="1">
      <alignment horizontal="center" vertical="center"/>
    </xf>
    <xf numFmtId="3" fontId="0" fillId="0" borderId="28" xfId="0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3" fillId="0" borderId="28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5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29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8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7" fillId="0" borderId="15" xfId="0" applyFont="1" applyBorder="1" applyAlignment="1">
      <alignment horizontal="center" vertical="center"/>
    </xf>
    <xf numFmtId="3" fontId="7" fillId="0" borderId="24" xfId="0" applyFont="1" applyBorder="1" applyAlignment="1">
      <alignment horizontal="center" vertical="center"/>
    </xf>
    <xf numFmtId="3" fontId="7" fillId="0" borderId="28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4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14" xfId="38" applyNumberFormat="1" applyFont="1" applyBorder="1" applyAlignment="1">
      <alignment/>
    </xf>
    <xf numFmtId="174" fontId="4" fillId="0" borderId="14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6" fillId="0" borderId="14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30" xfId="38" applyNumberFormat="1" applyFont="1" applyBorder="1" applyAlignment="1">
      <alignment/>
    </xf>
    <xf numFmtId="174" fontId="6" fillId="0" borderId="14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14" xfId="38" applyNumberFormat="1" applyFont="1" applyFill="1" applyBorder="1" applyAlignment="1">
      <alignment/>
    </xf>
    <xf numFmtId="174" fontId="0" fillId="0" borderId="30" xfId="38" applyNumberFormat="1" applyFont="1" applyBorder="1" applyAlignment="1">
      <alignment/>
    </xf>
    <xf numFmtId="174" fontId="4" fillId="0" borderId="31" xfId="38" applyNumberFormat="1" applyFont="1" applyBorder="1" applyAlignment="1">
      <alignment/>
    </xf>
    <xf numFmtId="174" fontId="4" fillId="0" borderId="32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174" fontId="8" fillId="0" borderId="20" xfId="38" applyNumberFormat="1" applyFont="1" applyBorder="1" applyAlignment="1">
      <alignment vertical="center"/>
    </xf>
    <xf numFmtId="174" fontId="8" fillId="0" borderId="23" xfId="38" applyNumberFormat="1" applyFont="1" applyBorder="1" applyAlignment="1">
      <alignment vertical="center"/>
    </xf>
    <xf numFmtId="174" fontId="8" fillId="0" borderId="14" xfId="38" applyNumberFormat="1" applyFont="1" applyBorder="1" applyAlignment="1">
      <alignment vertical="center"/>
    </xf>
    <xf numFmtId="174" fontId="8" fillId="0" borderId="22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2" fillId="0" borderId="32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2" fillId="0" borderId="23" xfId="38" applyNumberFormat="1" applyFont="1" applyBorder="1" applyAlignment="1">
      <alignment vertical="center"/>
    </xf>
    <xf numFmtId="174" fontId="2" fillId="0" borderId="33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21" xfId="38" applyNumberFormat="1" applyFont="1" applyBorder="1" applyAlignment="1">
      <alignment vertical="center"/>
    </xf>
    <xf numFmtId="174" fontId="3" fillId="0" borderId="11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4" fillId="0" borderId="24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3" fontId="0" fillId="0" borderId="17" xfId="0" applyBorder="1" applyAlignment="1">
      <alignment/>
    </xf>
    <xf numFmtId="3" fontId="7" fillId="0" borderId="28" xfId="0" applyFont="1" applyBorder="1" applyAlignment="1">
      <alignment horizontal="center"/>
    </xf>
    <xf numFmtId="174" fontId="0" fillId="0" borderId="21" xfId="38" applyNumberFormat="1" applyFont="1" applyBorder="1" applyAlignment="1">
      <alignment/>
    </xf>
    <xf numFmtId="174" fontId="0" fillId="0" borderId="23" xfId="38" applyNumberFormat="1" applyFont="1" applyBorder="1" applyAlignment="1">
      <alignment/>
    </xf>
    <xf numFmtId="3" fontId="0" fillId="0" borderId="17" xfId="0" applyFont="1" applyBorder="1" applyAlignment="1">
      <alignment/>
    </xf>
    <xf numFmtId="174" fontId="0" fillId="0" borderId="24" xfId="38" applyNumberFormat="1" applyFont="1" applyBorder="1" applyAlignment="1">
      <alignment/>
    </xf>
    <xf numFmtId="4" fontId="0" fillId="0" borderId="0" xfId="0" applyNumberFormat="1" applyAlignment="1">
      <alignment/>
    </xf>
    <xf numFmtId="174" fontId="2" fillId="0" borderId="35" xfId="38" applyNumberFormat="1" applyFont="1" applyBorder="1" applyAlignment="1">
      <alignment vertical="center"/>
    </xf>
    <xf numFmtId="3" fontId="5" fillId="0" borderId="24" xfId="0" applyFont="1" applyBorder="1" applyAlignment="1">
      <alignment horizontal="center"/>
    </xf>
    <xf numFmtId="4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3" fillId="0" borderId="23" xfId="38" applyNumberFormat="1" applyFont="1" applyBorder="1" applyAlignment="1">
      <alignment vertical="center"/>
    </xf>
    <xf numFmtId="4" fontId="6" fillId="0" borderId="2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4" fillId="0" borderId="34" xfId="38" applyNumberFormat="1" applyFont="1" applyBorder="1" applyAlignment="1">
      <alignment/>
    </xf>
    <xf numFmtId="4" fontId="4" fillId="0" borderId="32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22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4" fontId="0" fillId="0" borderId="30" xfId="38" applyNumberFormat="1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8" applyNumberFormat="1" applyFont="1" applyBorder="1" applyAlignment="1">
      <alignment/>
    </xf>
    <xf numFmtId="4" fontId="3" fillId="0" borderId="21" xfId="38" applyNumberFormat="1" applyFont="1" applyBorder="1" applyAlignment="1">
      <alignment vertical="center"/>
    </xf>
    <xf numFmtId="4" fontId="6" fillId="0" borderId="14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4" fontId="4" fillId="0" borderId="33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4" fontId="8" fillId="0" borderId="21" xfId="38" applyNumberFormat="1" applyFont="1" applyBorder="1" applyAlignment="1">
      <alignment vertical="center"/>
    </xf>
    <xf numFmtId="165" fontId="4" fillId="0" borderId="37" xfId="38" applyNumberFormat="1" applyFont="1" applyBorder="1" applyAlignment="1">
      <alignment horizontal="center"/>
    </xf>
    <xf numFmtId="165" fontId="4" fillId="0" borderId="38" xfId="38" applyNumberFormat="1" applyFont="1" applyBorder="1" applyAlignment="1">
      <alignment horizontal="center"/>
    </xf>
    <xf numFmtId="165" fontId="4" fillId="0" borderId="39" xfId="38" applyNumberFormat="1" applyFont="1" applyBorder="1" applyAlignment="1">
      <alignment horizontal="center"/>
    </xf>
    <xf numFmtId="174" fontId="4" fillId="0" borderId="39" xfId="38" applyNumberFormat="1" applyFont="1" applyBorder="1" applyAlignment="1">
      <alignment/>
    </xf>
    <xf numFmtId="174" fontId="0" fillId="0" borderId="39" xfId="38" applyNumberFormat="1" applyFont="1" applyBorder="1" applyAlignment="1">
      <alignment/>
    </xf>
    <xf numFmtId="174" fontId="4" fillId="0" borderId="39" xfId="38" applyNumberFormat="1" applyFont="1" applyBorder="1" applyAlignment="1">
      <alignment/>
    </xf>
    <xf numFmtId="174" fontId="3" fillId="0" borderId="38" xfId="38" applyNumberFormat="1" applyFont="1" applyBorder="1" applyAlignment="1">
      <alignment vertical="center"/>
    </xf>
    <xf numFmtId="174" fontId="6" fillId="0" borderId="39" xfId="38" applyNumberFormat="1" applyFont="1" applyBorder="1" applyAlignment="1">
      <alignment/>
    </xf>
    <xf numFmtId="174" fontId="0" fillId="0" borderId="40" xfId="38" applyNumberFormat="1" applyFont="1" applyBorder="1" applyAlignment="1">
      <alignment/>
    </xf>
    <xf numFmtId="174" fontId="6" fillId="0" borderId="39" xfId="38" applyNumberFormat="1" applyFont="1" applyBorder="1" applyAlignment="1">
      <alignment/>
    </xf>
    <xf numFmtId="174" fontId="0" fillId="0" borderId="38" xfId="38" applyNumberFormat="1" applyFont="1" applyBorder="1" applyAlignment="1">
      <alignment/>
    </xf>
    <xf numFmtId="174" fontId="6" fillId="0" borderId="39" xfId="38" applyNumberFormat="1" applyFont="1" applyFill="1" applyBorder="1" applyAlignment="1">
      <alignment/>
    </xf>
    <xf numFmtId="174" fontId="0" fillId="0" borderId="39" xfId="38" applyNumberFormat="1" applyFont="1" applyFill="1" applyBorder="1" applyAlignment="1">
      <alignment/>
    </xf>
    <xf numFmtId="174" fontId="6" fillId="0" borderId="24" xfId="38" applyNumberFormat="1" applyFont="1" applyBorder="1" applyAlignment="1">
      <alignment/>
    </xf>
    <xf numFmtId="174" fontId="0" fillId="0" borderId="39" xfId="38" applyNumberFormat="1" applyFont="1" applyFill="1" applyBorder="1" applyAlignment="1">
      <alignment/>
    </xf>
    <xf numFmtId="174" fontId="4" fillId="0" borderId="41" xfId="38" applyNumberFormat="1" applyFont="1" applyBorder="1" applyAlignment="1">
      <alignment/>
    </xf>
    <xf numFmtId="174" fontId="2" fillId="0" borderId="42" xfId="38" applyNumberFormat="1" applyFont="1" applyBorder="1" applyAlignment="1">
      <alignment vertical="center"/>
    </xf>
    <xf numFmtId="174" fontId="4" fillId="0" borderId="42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37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74" fontId="8" fillId="0" borderId="39" xfId="38" applyNumberFormat="1" applyFont="1" applyBorder="1" applyAlignment="1">
      <alignment vertical="center"/>
    </xf>
    <xf numFmtId="174" fontId="8" fillId="0" borderId="38" xfId="38" applyNumberFormat="1" applyFont="1" applyBorder="1" applyAlignment="1">
      <alignment vertical="center"/>
    </xf>
    <xf numFmtId="3" fontId="0" fillId="0" borderId="15" xfId="0" applyFont="1" applyFill="1" applyBorder="1" applyAlignment="1">
      <alignment/>
    </xf>
    <xf numFmtId="4" fontId="0" fillId="0" borderId="14" xfId="38" applyNumberFormat="1" applyFont="1" applyBorder="1" applyAlignment="1">
      <alignment/>
    </xf>
    <xf numFmtId="174" fontId="2" fillId="0" borderId="28" xfId="38" applyNumberFormat="1" applyFont="1" applyBorder="1" applyAlignment="1">
      <alignment vertical="center"/>
    </xf>
    <xf numFmtId="174" fontId="2" fillId="0" borderId="0" xfId="38" applyNumberFormat="1" applyFont="1" applyBorder="1" applyAlignment="1">
      <alignment vertical="center"/>
    </xf>
    <xf numFmtId="165" fontId="4" fillId="0" borderId="43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5" fontId="4" fillId="0" borderId="45" xfId="38" applyNumberFormat="1" applyFont="1" applyBorder="1" applyAlignment="1">
      <alignment horizontal="center"/>
    </xf>
    <xf numFmtId="174" fontId="4" fillId="0" borderId="45" xfId="38" applyNumberFormat="1" applyFont="1" applyBorder="1" applyAlignment="1">
      <alignment/>
    </xf>
    <xf numFmtId="174" fontId="0" fillId="0" borderId="45" xfId="38" applyNumberFormat="1" applyFont="1" applyBorder="1" applyAlignment="1">
      <alignment/>
    </xf>
    <xf numFmtId="174" fontId="0" fillId="0" borderId="45" xfId="38" applyNumberFormat="1" applyFont="1" applyFill="1" applyBorder="1" applyAlignment="1">
      <alignment/>
    </xf>
    <xf numFmtId="174" fontId="0" fillId="0" borderId="45" xfId="38" applyNumberFormat="1" applyFont="1" applyBorder="1" applyAlignment="1">
      <alignment/>
    </xf>
    <xf numFmtId="174" fontId="4" fillId="0" borderId="45" xfId="38" applyNumberFormat="1" applyFont="1" applyBorder="1" applyAlignment="1">
      <alignment/>
    </xf>
    <xf numFmtId="174" fontId="3" fillId="0" borderId="44" xfId="38" applyNumberFormat="1" applyFont="1" applyBorder="1" applyAlignment="1">
      <alignment vertical="center"/>
    </xf>
    <xf numFmtId="174" fontId="6" fillId="0" borderId="45" xfId="38" applyNumberFormat="1" applyFont="1" applyBorder="1" applyAlignment="1">
      <alignment/>
    </xf>
    <xf numFmtId="174" fontId="6" fillId="0" borderId="45" xfId="38" applyNumberFormat="1" applyFont="1" applyBorder="1" applyAlignment="1">
      <alignment/>
    </xf>
    <xf numFmtId="174" fontId="0" fillId="0" borderId="46" xfId="38" applyNumberFormat="1" applyFont="1" applyBorder="1" applyAlignment="1">
      <alignment/>
    </xf>
    <xf numFmtId="174" fontId="0" fillId="0" borderId="44" xfId="38" applyNumberFormat="1" applyFont="1" applyBorder="1" applyAlignment="1">
      <alignment/>
    </xf>
    <xf numFmtId="174" fontId="6" fillId="0" borderId="45" xfId="38" applyNumberFormat="1" applyFont="1" applyFill="1" applyBorder="1" applyAlignment="1">
      <alignment/>
    </xf>
    <xf numFmtId="174" fontId="0" fillId="0" borderId="45" xfId="38" applyNumberFormat="1" applyFont="1" applyFill="1" applyBorder="1" applyAlignment="1">
      <alignment/>
    </xf>
    <xf numFmtId="174" fontId="4" fillId="0" borderId="47" xfId="38" applyNumberFormat="1" applyFont="1" applyBorder="1" applyAlignment="1">
      <alignment/>
    </xf>
    <xf numFmtId="174" fontId="2" fillId="0" borderId="48" xfId="38" applyNumberFormat="1" applyFont="1" applyBorder="1" applyAlignment="1">
      <alignment vertical="center"/>
    </xf>
    <xf numFmtId="174" fontId="4" fillId="0" borderId="48" xfId="38" applyNumberFormat="1" applyFont="1" applyBorder="1" applyAlignment="1">
      <alignment vertical="center"/>
    </xf>
    <xf numFmtId="174" fontId="3" fillId="0" borderId="48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74" fontId="2" fillId="0" borderId="49" xfId="38" applyNumberFormat="1" applyFont="1" applyBorder="1" applyAlignment="1">
      <alignment vertical="center"/>
    </xf>
    <xf numFmtId="174" fontId="2" fillId="0" borderId="44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3" fillId="0" borderId="45" xfId="38" applyNumberFormat="1" applyFont="1" applyBorder="1" applyAlignment="1">
      <alignment vertical="center"/>
    </xf>
    <xf numFmtId="174" fontId="8" fillId="0" borderId="45" xfId="38" applyNumberFormat="1" applyFont="1" applyBorder="1" applyAlignment="1">
      <alignment vertical="center"/>
    </xf>
    <xf numFmtId="174" fontId="8" fillId="0" borderId="45" xfId="38" applyNumberFormat="1" applyFont="1" applyFill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4" fontId="4" fillId="0" borderId="45" xfId="38" applyNumberFormat="1" applyFont="1" applyBorder="1" applyAlignment="1">
      <alignment/>
    </xf>
    <xf numFmtId="4" fontId="0" fillId="0" borderId="45" xfId="38" applyNumberFormat="1" applyFont="1" applyBorder="1" applyAlignment="1">
      <alignment/>
    </xf>
    <xf numFmtId="4" fontId="0" fillId="0" borderId="45" xfId="0" applyNumberFormat="1" applyBorder="1" applyAlignment="1">
      <alignment/>
    </xf>
    <xf numFmtId="4" fontId="4" fillId="0" borderId="45" xfId="38" applyNumberFormat="1" applyFont="1" applyBorder="1" applyAlignment="1">
      <alignment/>
    </xf>
    <xf numFmtId="4" fontId="3" fillId="0" borderId="44" xfId="38" applyNumberFormat="1" applyFont="1" applyBorder="1" applyAlignment="1">
      <alignment vertical="center"/>
    </xf>
    <xf numFmtId="4" fontId="6" fillId="0" borderId="45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7" fillId="0" borderId="45" xfId="38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4" fontId="0" fillId="0" borderId="44" xfId="38" applyNumberFormat="1" applyFont="1" applyBorder="1" applyAlignment="1">
      <alignment/>
    </xf>
    <xf numFmtId="4" fontId="4" fillId="0" borderId="48" xfId="38" applyNumberFormat="1" applyFont="1" applyBorder="1" applyAlignment="1">
      <alignment vertical="center"/>
    </xf>
    <xf numFmtId="4" fontId="2" fillId="0" borderId="43" xfId="38" applyNumberFormat="1" applyFont="1" applyBorder="1" applyAlignment="1">
      <alignment vertical="center"/>
    </xf>
    <xf numFmtId="174" fontId="2" fillId="0" borderId="50" xfId="38" applyNumberFormat="1" applyFont="1" applyBorder="1" applyAlignment="1">
      <alignment vertical="center"/>
    </xf>
    <xf numFmtId="4" fontId="3" fillId="0" borderId="45" xfId="38" applyNumberFormat="1" applyFont="1" applyBorder="1" applyAlignment="1">
      <alignment vertical="center"/>
    </xf>
    <xf numFmtId="4" fontId="8" fillId="0" borderId="45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/>
    </xf>
    <xf numFmtId="174" fontId="6" fillId="0" borderId="24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4" fontId="4" fillId="0" borderId="49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51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6" fillId="0" borderId="10" xfId="38" applyNumberFormat="1" applyFont="1" applyBorder="1" applyAlignment="1">
      <alignment/>
    </xf>
    <xf numFmtId="4" fontId="4" fillId="0" borderId="52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165" fontId="4" fillId="0" borderId="49" xfId="38" applyNumberFormat="1" applyFont="1" applyBorder="1" applyAlignment="1">
      <alignment horizontal="center"/>
    </xf>
    <xf numFmtId="4" fontId="4" fillId="0" borderId="49" xfId="38" applyNumberFormat="1" applyFont="1" applyBorder="1" applyAlignment="1">
      <alignment/>
    </xf>
    <xf numFmtId="4" fontId="3" fillId="0" borderId="26" xfId="38" applyNumberFormat="1" applyFont="1" applyBorder="1" applyAlignment="1">
      <alignment vertical="center"/>
    </xf>
    <xf numFmtId="4" fontId="6" fillId="0" borderId="49" xfId="38" applyNumberFormat="1" applyFont="1" applyBorder="1" applyAlignment="1">
      <alignment/>
    </xf>
    <xf numFmtId="4" fontId="6" fillId="0" borderId="49" xfId="38" applyNumberFormat="1" applyFont="1" applyBorder="1" applyAlignment="1">
      <alignment/>
    </xf>
    <xf numFmtId="4" fontId="0" fillId="0" borderId="49" xfId="38" applyNumberFormat="1" applyFont="1" applyFill="1" applyBorder="1" applyAlignment="1">
      <alignment/>
    </xf>
    <xf numFmtId="4" fontId="4" fillId="0" borderId="53" xfId="38" applyNumberFormat="1" applyFont="1" applyBorder="1" applyAlignment="1">
      <alignment/>
    </xf>
    <xf numFmtId="4" fontId="2" fillId="0" borderId="54" xfId="38" applyNumberFormat="1" applyFont="1" applyBorder="1" applyAlignment="1">
      <alignment vertical="center"/>
    </xf>
    <xf numFmtId="4" fontId="3" fillId="0" borderId="54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2" fillId="0" borderId="49" xfId="38" applyNumberFormat="1" applyFont="1" applyBorder="1" applyAlignment="1">
      <alignment vertical="center"/>
    </xf>
    <xf numFmtId="4" fontId="2" fillId="0" borderId="26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3" fillId="0" borderId="2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4" fillId="0" borderId="55" xfId="38" applyNumberFormat="1" applyFont="1" applyBorder="1" applyAlignment="1">
      <alignment/>
    </xf>
    <xf numFmtId="4" fontId="2" fillId="0" borderId="52" xfId="38" applyNumberFormat="1" applyFont="1" applyBorder="1" applyAlignment="1">
      <alignment vertical="center"/>
    </xf>
    <xf numFmtId="4" fontId="3" fillId="0" borderId="52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2" fillId="0" borderId="22" xfId="38" applyNumberFormat="1" applyFont="1" applyBorder="1" applyAlignment="1">
      <alignment vertical="center"/>
    </xf>
    <xf numFmtId="4" fontId="0" fillId="0" borderId="14" xfId="38" applyNumberFormat="1" applyFont="1" applyFill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36" xfId="38" applyNumberFormat="1" applyFont="1" applyBorder="1" applyAlignment="1">
      <alignment/>
    </xf>
    <xf numFmtId="4" fontId="2" fillId="0" borderId="33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/>
    </xf>
    <xf numFmtId="3" fontId="0" fillId="0" borderId="29" xfId="0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51" xfId="38" applyNumberFormat="1" applyFont="1" applyBorder="1" applyAlignment="1">
      <alignment/>
    </xf>
    <xf numFmtId="174" fontId="4" fillId="0" borderId="52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8" fillId="0" borderId="10" xfId="38" applyNumberFormat="1" applyFont="1" applyBorder="1" applyAlignment="1">
      <alignment vertical="center"/>
    </xf>
    <xf numFmtId="174" fontId="0" fillId="0" borderId="10" xfId="0" applyNumberFormat="1" applyBorder="1" applyAlignment="1">
      <alignment/>
    </xf>
    <xf numFmtId="4" fontId="0" fillId="0" borderId="0" xfId="38" applyNumberFormat="1" applyFont="1" applyBorder="1" applyAlignment="1">
      <alignment/>
    </xf>
    <xf numFmtId="4" fontId="4" fillId="0" borderId="0" xfId="38" applyNumberFormat="1" applyFont="1" applyBorder="1" applyAlignment="1">
      <alignment/>
    </xf>
    <xf numFmtId="4" fontId="3" fillId="0" borderId="50" xfId="38" applyNumberFormat="1" applyFont="1" applyBorder="1" applyAlignment="1">
      <alignment vertical="center"/>
    </xf>
    <xf numFmtId="4" fontId="6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0" fillId="0" borderId="0" xfId="38" applyNumberFormat="1" applyFont="1" applyFill="1" applyBorder="1" applyAlignment="1">
      <alignment/>
    </xf>
    <xf numFmtId="4" fontId="4" fillId="0" borderId="56" xfId="38" applyNumberFormat="1" applyFont="1" applyBorder="1" applyAlignment="1">
      <alignment/>
    </xf>
    <xf numFmtId="4" fontId="2" fillId="0" borderId="35" xfId="38" applyNumberFormat="1" applyFont="1" applyBorder="1" applyAlignment="1">
      <alignment vertical="center"/>
    </xf>
    <xf numFmtId="4" fontId="3" fillId="0" borderId="35" xfId="38" applyNumberFormat="1" applyFont="1" applyBorder="1" applyAlignment="1">
      <alignment vertical="center"/>
    </xf>
    <xf numFmtId="4" fontId="2" fillId="0" borderId="57" xfId="38" applyNumberFormat="1" applyFont="1" applyBorder="1" applyAlignment="1">
      <alignment vertical="center"/>
    </xf>
    <xf numFmtId="4" fontId="2" fillId="0" borderId="0" xfId="38" applyNumberFormat="1" applyFont="1" applyBorder="1" applyAlignment="1">
      <alignment vertical="center"/>
    </xf>
    <xf numFmtId="4" fontId="2" fillId="0" borderId="50" xfId="38" applyNumberFormat="1" applyFont="1" applyBorder="1" applyAlignment="1">
      <alignment vertical="center"/>
    </xf>
    <xf numFmtId="4" fontId="3" fillId="0" borderId="57" xfId="38" applyNumberFormat="1" applyFont="1" applyBorder="1" applyAlignment="1">
      <alignment vertical="center"/>
    </xf>
    <xf numFmtId="174" fontId="4" fillId="0" borderId="49" xfId="38" applyNumberFormat="1" applyFont="1" applyBorder="1" applyAlignment="1">
      <alignment/>
    </xf>
    <xf numFmtId="174" fontId="0" fillId="0" borderId="49" xfId="38" applyNumberFormat="1" applyFont="1" applyBorder="1" applyAlignment="1">
      <alignment/>
    </xf>
    <xf numFmtId="174" fontId="4" fillId="0" borderId="49" xfId="38" applyNumberFormat="1" applyFont="1" applyBorder="1" applyAlignment="1">
      <alignment/>
    </xf>
    <xf numFmtId="174" fontId="0" fillId="0" borderId="58" xfId="38" applyNumberFormat="1" applyFont="1" applyBorder="1" applyAlignment="1">
      <alignment/>
    </xf>
    <xf numFmtId="174" fontId="6" fillId="0" borderId="49" xfId="38" applyNumberFormat="1" applyFont="1" applyBorder="1" applyAlignment="1">
      <alignment/>
    </xf>
    <xf numFmtId="174" fontId="4" fillId="0" borderId="54" xfId="38" applyNumberFormat="1" applyFont="1" applyBorder="1" applyAlignment="1">
      <alignment vertical="center"/>
    </xf>
    <xf numFmtId="174" fontId="8" fillId="0" borderId="49" xfId="38" applyNumberFormat="1" applyFont="1" applyBorder="1" applyAlignment="1">
      <alignment vertical="center"/>
    </xf>
    <xf numFmtId="174" fontId="8" fillId="0" borderId="26" xfId="38" applyNumberFormat="1" applyFont="1" applyBorder="1" applyAlignment="1">
      <alignment vertical="center"/>
    </xf>
    <xf numFmtId="174" fontId="0" fillId="0" borderId="22" xfId="38" applyNumberFormat="1" applyFont="1" applyBorder="1" applyAlignment="1">
      <alignment/>
    </xf>
    <xf numFmtId="174" fontId="0" fillId="0" borderId="26" xfId="38" applyNumberFormat="1" applyFont="1" applyBorder="1" applyAlignment="1">
      <alignment/>
    </xf>
    <xf numFmtId="174" fontId="0" fillId="0" borderId="45" xfId="0" applyNumberFormat="1" applyBorder="1" applyAlignment="1">
      <alignment/>
    </xf>
    <xf numFmtId="4" fontId="6" fillId="0" borderId="45" xfId="38" applyNumberFormat="1" applyFont="1" applyBorder="1" applyAlignment="1">
      <alignment/>
    </xf>
    <xf numFmtId="4" fontId="0" fillId="0" borderId="45" xfId="38" applyNumberFormat="1" applyFont="1" applyFill="1" applyBorder="1" applyAlignment="1">
      <alignment/>
    </xf>
    <xf numFmtId="4" fontId="4" fillId="0" borderId="47" xfId="38" applyNumberFormat="1" applyFont="1" applyBorder="1" applyAlignment="1">
      <alignment/>
    </xf>
    <xf numFmtId="4" fontId="2" fillId="0" borderId="48" xfId="38" applyNumberFormat="1" applyFont="1" applyBorder="1" applyAlignment="1">
      <alignment vertical="center"/>
    </xf>
    <xf numFmtId="4" fontId="3" fillId="0" borderId="48" xfId="38" applyNumberFormat="1" applyFont="1" applyBorder="1" applyAlignment="1">
      <alignment vertical="center"/>
    </xf>
    <xf numFmtId="4" fontId="2" fillId="0" borderId="45" xfId="38" applyNumberFormat="1" applyFont="1" applyBorder="1" applyAlignment="1">
      <alignment vertical="center"/>
    </xf>
    <xf numFmtId="4" fontId="2" fillId="0" borderId="44" xfId="38" applyNumberFormat="1" applyFont="1" applyBorder="1" applyAlignment="1">
      <alignment vertical="center"/>
    </xf>
    <xf numFmtId="4" fontId="3" fillId="0" borderId="43" xfId="38" applyNumberFormat="1" applyFont="1" applyBorder="1" applyAlignment="1">
      <alignment vertical="center"/>
    </xf>
    <xf numFmtId="174" fontId="8" fillId="0" borderId="44" xfId="38" applyNumberFormat="1" applyFont="1" applyBorder="1" applyAlignment="1">
      <alignment vertical="center"/>
    </xf>
    <xf numFmtId="165" fontId="4" fillId="0" borderId="57" xfId="38" applyNumberFormat="1" applyFont="1" applyBorder="1" applyAlignment="1">
      <alignment horizontal="center"/>
    </xf>
    <xf numFmtId="165" fontId="4" fillId="0" borderId="50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4" fontId="0" fillId="0" borderId="59" xfId="38" applyNumberFormat="1" applyFont="1" applyBorder="1" applyAlignment="1">
      <alignment/>
    </xf>
    <xf numFmtId="4" fontId="0" fillId="0" borderId="50" xfId="38" applyNumberFormat="1" applyFont="1" applyBorder="1" applyAlignment="1">
      <alignment/>
    </xf>
    <xf numFmtId="4" fontId="4" fillId="0" borderId="35" xfId="38" applyNumberFormat="1" applyFont="1" applyBorder="1" applyAlignment="1">
      <alignment vertical="center"/>
    </xf>
    <xf numFmtId="4" fontId="8" fillId="0" borderId="0" xfId="38" applyNumberFormat="1" applyFont="1" applyBorder="1" applyAlignment="1">
      <alignment vertical="center"/>
    </xf>
    <xf numFmtId="4" fontId="8" fillId="0" borderId="50" xfId="38" applyNumberFormat="1" applyFont="1" applyBorder="1" applyAlignment="1">
      <alignment vertical="center"/>
    </xf>
    <xf numFmtId="174" fontId="0" fillId="0" borderId="10" xfId="38" applyNumberFormat="1" applyFont="1" applyFill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51" xfId="38" applyNumberFormat="1" applyFon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33" borderId="14" xfId="0" applyNumberFormat="1" applyFill="1" applyBorder="1" applyAlignment="1">
      <alignment/>
    </xf>
    <xf numFmtId="174" fontId="0" fillId="0" borderId="14" xfId="0" applyNumberFormat="1" applyFill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21" xfId="0" applyNumberFormat="1" applyBorder="1" applyAlignment="1">
      <alignment/>
    </xf>
    <xf numFmtId="3" fontId="0" fillId="0" borderId="20" xfId="0" applyBorder="1" applyAlignment="1">
      <alignment/>
    </xf>
    <xf numFmtId="174" fontId="0" fillId="0" borderId="20" xfId="0" applyNumberFormat="1" applyBorder="1" applyAlignment="1">
      <alignment/>
    </xf>
    <xf numFmtId="174" fontId="0" fillId="0" borderId="34" xfId="0" applyNumberFormat="1" applyBorder="1" applyAlignment="1">
      <alignment/>
    </xf>
    <xf numFmtId="174" fontId="4" fillId="0" borderId="20" xfId="0" applyNumberFormat="1" applyFont="1" applyBorder="1" applyAlignment="1">
      <alignment/>
    </xf>
    <xf numFmtId="174" fontId="0" fillId="0" borderId="23" xfId="0" applyNumberFormat="1" applyBorder="1" applyAlignment="1">
      <alignment/>
    </xf>
    <xf numFmtId="4" fontId="7" fillId="0" borderId="14" xfId="38" applyNumberFormat="1" applyFont="1" applyBorder="1" applyAlignment="1">
      <alignment/>
    </xf>
    <xf numFmtId="3" fontId="4" fillId="0" borderId="19" xfId="0" applyFont="1" applyFill="1" applyBorder="1" applyAlignment="1">
      <alignment horizontal="center"/>
    </xf>
    <xf numFmtId="3" fontId="4" fillId="0" borderId="17" xfId="0" applyFont="1" applyFill="1" applyBorder="1" applyAlignment="1">
      <alignment horizontal="center"/>
    </xf>
    <xf numFmtId="4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4" fillId="0" borderId="15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3" fillId="0" borderId="17" xfId="38" applyNumberFormat="1" applyFont="1" applyBorder="1" applyAlignment="1">
      <alignment vertical="center"/>
    </xf>
    <xf numFmtId="4" fontId="6" fillId="0" borderId="15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0" fillId="0" borderId="15" xfId="38" applyNumberFormat="1" applyFont="1" applyBorder="1" applyAlignment="1">
      <alignment/>
    </xf>
    <xf numFmtId="4" fontId="4" fillId="0" borderId="60" xfId="38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2" fillId="0" borderId="18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166" fontId="0" fillId="0" borderId="15" xfId="0" applyNumberFormat="1" applyFont="1" applyBorder="1" applyAlignment="1">
      <alignment horizontal="center"/>
    </xf>
    <xf numFmtId="174" fontId="0" fillId="33" borderId="2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24" xfId="38" applyNumberFormat="1" applyFont="1" applyBorder="1" applyAlignment="1">
      <alignment/>
    </xf>
    <xf numFmtId="4" fontId="0" fillId="0" borderId="49" xfId="0" applyNumberFormat="1" applyBorder="1" applyAlignment="1">
      <alignment/>
    </xf>
    <xf numFmtId="174" fontId="0" fillId="0" borderId="20" xfId="0" applyNumberFormat="1" applyFill="1" applyBorder="1" applyAlignment="1">
      <alignment/>
    </xf>
    <xf numFmtId="4" fontId="6" fillId="0" borderId="15" xfId="38" applyNumberFormat="1" applyFont="1" applyFill="1" applyBorder="1" applyAlignment="1">
      <alignment/>
    </xf>
    <xf numFmtId="166" fontId="0" fillId="0" borderId="16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3" fontId="0" fillId="0" borderId="28" xfId="0" applyBorder="1" applyAlignment="1">
      <alignment/>
    </xf>
    <xf numFmtId="4" fontId="0" fillId="0" borderId="22" xfId="38" applyNumberFormat="1" applyFont="1" applyFill="1" applyBorder="1" applyAlignment="1">
      <alignment/>
    </xf>
    <xf numFmtId="174" fontId="0" fillId="0" borderId="44" xfId="38" applyNumberFormat="1" applyFont="1" applyFill="1" applyBorder="1" applyAlignment="1">
      <alignment/>
    </xf>
    <xf numFmtId="174" fontId="0" fillId="0" borderId="38" xfId="38" applyNumberFormat="1" applyFont="1" applyFill="1" applyBorder="1" applyAlignment="1">
      <alignment/>
    </xf>
    <xf numFmtId="174" fontId="0" fillId="0" borderId="22" xfId="38" applyNumberFormat="1" applyFont="1" applyFill="1" applyBorder="1" applyAlignment="1">
      <alignment/>
    </xf>
    <xf numFmtId="3" fontId="7" fillId="0" borderId="17" xfId="0" applyFont="1" applyBorder="1" applyAlignment="1">
      <alignment horizontal="center"/>
    </xf>
    <xf numFmtId="174" fontId="0" fillId="0" borderId="21" xfId="38" applyNumberFormat="1" applyFont="1" applyFill="1" applyBorder="1" applyAlignment="1">
      <alignment/>
    </xf>
    <xf numFmtId="3" fontId="0" fillId="0" borderId="0" xfId="0" applyAlignment="1">
      <alignment horizontal="right" vertical="top"/>
    </xf>
    <xf numFmtId="3" fontId="10" fillId="34" borderId="0" xfId="0" applyFont="1" applyFill="1" applyAlignment="1">
      <alignment horizontal="center"/>
    </xf>
    <xf numFmtId="3" fontId="0" fillId="34" borderId="0" xfId="0" applyFill="1" applyAlignment="1">
      <alignment horizontal="center"/>
    </xf>
    <xf numFmtId="164" fontId="10" fillId="34" borderId="0" xfId="38" applyFont="1" applyFill="1" applyAlignment="1">
      <alignment horizontal="center"/>
    </xf>
    <xf numFmtId="3" fontId="0" fillId="34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Alignment="1">
      <alignment/>
    </xf>
    <xf numFmtId="3" fontId="4" fillId="0" borderId="19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3" fontId="4" fillId="0" borderId="19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tabSelected="1" zoomScale="93" zoomScaleNormal="93" zoomScaleSheetLayoutView="69" zoomScalePageLayoutView="0" workbookViewId="0" topLeftCell="A1">
      <pane xSplit="2" ySplit="7" topLeftCell="C2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41" sqref="A241"/>
    </sheetView>
  </sheetViews>
  <sheetFormatPr defaultColWidth="9.00390625" defaultRowHeight="12.75"/>
  <cols>
    <col min="1" max="1" width="49.00390625" style="0" customWidth="1"/>
    <col min="2" max="2" width="10.00390625" style="0" hidden="1" customWidth="1"/>
    <col min="3" max="3" width="15.00390625" style="0" customWidth="1"/>
    <col min="4" max="4" width="15.125" style="0" hidden="1" customWidth="1"/>
    <col min="5" max="5" width="15.25390625" style="0" hidden="1" customWidth="1"/>
    <col min="6" max="6" width="16.875" style="0" hidden="1" customWidth="1"/>
    <col min="7" max="7" width="15.375" style="0" hidden="1" customWidth="1"/>
    <col min="8" max="8" width="13.75390625" style="0" hidden="1" customWidth="1"/>
    <col min="9" max="9" width="16.375" style="0" hidden="1" customWidth="1"/>
    <col min="10" max="10" width="12.875" style="0" hidden="1" customWidth="1"/>
    <col min="11" max="11" width="13.25390625" style="0" hidden="1" customWidth="1"/>
    <col min="12" max="12" width="16.75390625" style="0" hidden="1" customWidth="1"/>
    <col min="13" max="13" width="12.875" style="0" hidden="1" customWidth="1"/>
    <col min="14" max="14" width="11.25390625" style="0" hidden="1" customWidth="1"/>
    <col min="15" max="15" width="15.875" style="0" hidden="1" customWidth="1"/>
    <col min="16" max="16" width="12.125" style="0" hidden="1" customWidth="1"/>
    <col min="17" max="17" width="17.25390625" style="0" customWidth="1"/>
    <col min="18" max="18" width="16.375" style="0" customWidth="1"/>
    <col min="19" max="19" width="9.25390625" style="0" customWidth="1"/>
    <col min="20" max="20" width="17.75390625" style="0" customWidth="1"/>
  </cols>
  <sheetData>
    <row r="1" spans="3:19" ht="12.75">
      <c r="C1" s="1"/>
      <c r="D1" s="1"/>
      <c r="E1" s="1"/>
      <c r="F1" s="2"/>
      <c r="I1" s="2"/>
      <c r="L1" s="2"/>
      <c r="O1" s="2"/>
      <c r="Q1" s="2"/>
      <c r="R1" s="377" t="s">
        <v>396</v>
      </c>
      <c r="S1" s="377"/>
    </row>
    <row r="2" spans="1:19" ht="21.75" customHeight="1">
      <c r="A2" s="378" t="s">
        <v>397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19" ht="21.75" customHeight="1">
      <c r="A3" s="380" t="s">
        <v>398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19" ht="12.75">
      <c r="A4" s="382" t="s">
        <v>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</row>
    <row r="5" spans="1:13" ht="18" customHeight="1" thickBot="1">
      <c r="A5" s="3"/>
      <c r="B5" s="3"/>
      <c r="C5" s="4"/>
      <c r="D5" s="113"/>
      <c r="E5" s="4"/>
      <c r="F5" s="4"/>
      <c r="J5" s="44"/>
      <c r="M5" s="41"/>
    </row>
    <row r="6" spans="1:19" ht="12.75">
      <c r="A6" s="384" t="s">
        <v>1</v>
      </c>
      <c r="B6" s="49" t="s">
        <v>234</v>
      </c>
      <c r="C6" s="6" t="s">
        <v>2</v>
      </c>
      <c r="D6" s="182" t="s">
        <v>3</v>
      </c>
      <c r="E6" s="153" t="s">
        <v>4</v>
      </c>
      <c r="F6" s="8" t="s">
        <v>5</v>
      </c>
      <c r="G6" s="6" t="s">
        <v>6</v>
      </c>
      <c r="H6" s="182" t="s">
        <v>4</v>
      </c>
      <c r="I6" s="8" t="s">
        <v>5</v>
      </c>
      <c r="J6" s="6" t="s">
        <v>7</v>
      </c>
      <c r="K6" s="7" t="s">
        <v>4</v>
      </c>
      <c r="L6" s="312" t="s">
        <v>5</v>
      </c>
      <c r="M6" s="7" t="s">
        <v>8</v>
      </c>
      <c r="N6" s="182" t="s">
        <v>4</v>
      </c>
      <c r="O6" s="46" t="s">
        <v>5</v>
      </c>
      <c r="P6" s="6" t="s">
        <v>209</v>
      </c>
      <c r="Q6" s="8" t="s">
        <v>395</v>
      </c>
      <c r="R6" s="334" t="s">
        <v>392</v>
      </c>
      <c r="S6" s="386" t="s">
        <v>393</v>
      </c>
    </row>
    <row r="7" spans="1:19" ht="13.5" thickBot="1">
      <c r="A7" s="385"/>
      <c r="B7" s="50" t="s">
        <v>235</v>
      </c>
      <c r="C7" s="38" t="s">
        <v>9</v>
      </c>
      <c r="D7" s="183" t="s">
        <v>10</v>
      </c>
      <c r="E7" s="154" t="s">
        <v>11</v>
      </c>
      <c r="F7" s="40" t="s">
        <v>12</v>
      </c>
      <c r="G7" s="38" t="s">
        <v>10</v>
      </c>
      <c r="H7" s="183" t="s">
        <v>11</v>
      </c>
      <c r="I7" s="40" t="s">
        <v>13</v>
      </c>
      <c r="J7" s="38" t="s">
        <v>10</v>
      </c>
      <c r="K7" s="39" t="s">
        <v>11</v>
      </c>
      <c r="L7" s="313" t="s">
        <v>14</v>
      </c>
      <c r="M7" s="39" t="s">
        <v>10</v>
      </c>
      <c r="N7" s="183" t="s">
        <v>11</v>
      </c>
      <c r="O7" s="47" t="s">
        <v>15</v>
      </c>
      <c r="P7" s="38" t="s">
        <v>10</v>
      </c>
      <c r="Q7" s="40" t="s">
        <v>9</v>
      </c>
      <c r="R7" s="335" t="s">
        <v>399</v>
      </c>
      <c r="S7" s="387"/>
    </row>
    <row r="8" spans="1:19" ht="15.75" customHeight="1">
      <c r="A8" s="36" t="s">
        <v>16</v>
      </c>
      <c r="B8" s="51"/>
      <c r="C8" s="9"/>
      <c r="D8" s="184"/>
      <c r="E8" s="155"/>
      <c r="F8" s="37"/>
      <c r="G8" s="9"/>
      <c r="H8" s="184"/>
      <c r="I8" s="37"/>
      <c r="J8" s="9"/>
      <c r="K8" s="5"/>
      <c r="L8" s="314"/>
      <c r="M8" s="5"/>
      <c r="N8" s="184"/>
      <c r="O8" s="241"/>
      <c r="P8" s="48"/>
      <c r="Q8" s="328"/>
      <c r="R8" s="13"/>
      <c r="S8" s="13"/>
    </row>
    <row r="9" spans="1:19" ht="12.75">
      <c r="A9" s="10" t="s">
        <v>386</v>
      </c>
      <c r="B9" s="52"/>
      <c r="C9" s="75">
        <v>3325000</v>
      </c>
      <c r="D9" s="185">
        <f>D12</f>
        <v>28774.08</v>
      </c>
      <c r="E9" s="156"/>
      <c r="F9" s="77">
        <f>C9+D9+E9</f>
        <v>3353774.08</v>
      </c>
      <c r="G9" s="75">
        <f>G12+G11</f>
        <v>90612.19</v>
      </c>
      <c r="H9" s="209"/>
      <c r="I9" s="123">
        <f>F9+G9+H9</f>
        <v>3444386.27</v>
      </c>
      <c r="J9" s="141">
        <f>J11+J12</f>
        <v>78175.1</v>
      </c>
      <c r="K9" s="141">
        <f>K11+K12</f>
        <v>400</v>
      </c>
      <c r="L9" s="217">
        <f>I9+J9+K9</f>
        <v>3522961.37</v>
      </c>
      <c r="M9" s="76">
        <f>M11+M12</f>
        <v>10000</v>
      </c>
      <c r="N9" s="185">
        <f>N11+N12</f>
        <v>0</v>
      </c>
      <c r="O9" s="292">
        <f>O11+O12</f>
        <v>3532961.37</v>
      </c>
      <c r="P9" s="75">
        <f>P11+P12</f>
        <v>0</v>
      </c>
      <c r="Q9" s="77">
        <f>Q11+Q12</f>
        <v>3532961.37</v>
      </c>
      <c r="R9" s="336">
        <f>R11+R12+R13</f>
        <v>3915081.8</v>
      </c>
      <c r="S9" s="337">
        <f>R9/Q9*100</f>
        <v>110.81586776591332</v>
      </c>
    </row>
    <row r="10" spans="1:19" ht="12.75">
      <c r="A10" s="11" t="s">
        <v>31</v>
      </c>
      <c r="B10" s="53"/>
      <c r="C10" s="75"/>
      <c r="D10" s="185"/>
      <c r="E10" s="156"/>
      <c r="F10" s="77"/>
      <c r="G10" s="141"/>
      <c r="H10" s="209"/>
      <c r="I10" s="123"/>
      <c r="J10" s="141"/>
      <c r="K10" s="230"/>
      <c r="L10" s="217"/>
      <c r="M10" s="76"/>
      <c r="N10" s="185"/>
      <c r="O10" s="292"/>
      <c r="P10" s="323"/>
      <c r="Q10" s="329"/>
      <c r="R10" s="345"/>
      <c r="S10" s="13"/>
    </row>
    <row r="11" spans="1:19" ht="12.75">
      <c r="A11" s="61" t="s">
        <v>358</v>
      </c>
      <c r="B11" s="53"/>
      <c r="C11" s="79">
        <v>3325000</v>
      </c>
      <c r="D11" s="186"/>
      <c r="E11" s="157"/>
      <c r="F11" s="78">
        <v>3325000</v>
      </c>
      <c r="G11" s="142">
        <v>95647</v>
      </c>
      <c r="H11" s="209"/>
      <c r="I11" s="124">
        <f>F11+G11+H11</f>
        <v>3420647</v>
      </c>
      <c r="J11" s="142">
        <f>78175.1</f>
        <v>78175.1</v>
      </c>
      <c r="K11" s="231">
        <v>400</v>
      </c>
      <c r="L11" s="279">
        <f>I11+J11+K11</f>
        <v>3499222.1</v>
      </c>
      <c r="M11" s="225">
        <f>10000</f>
        <v>10000</v>
      </c>
      <c r="N11" s="185"/>
      <c r="O11" s="293">
        <f>L11+M11+N11</f>
        <v>3509222.1</v>
      </c>
      <c r="P11" s="323"/>
      <c r="Q11" s="329">
        <f aca="true" t="shared" si="0" ref="Q11:Q89">O11+P11</f>
        <v>3509222.1</v>
      </c>
      <c r="R11" s="345">
        <v>3889749.98</v>
      </c>
      <c r="S11" s="338">
        <f>R11/Q11*100</f>
        <v>110.84365335553996</v>
      </c>
    </row>
    <row r="12" spans="1:19" ht="12.75">
      <c r="A12" s="12" t="s">
        <v>17</v>
      </c>
      <c r="B12" s="54"/>
      <c r="C12" s="75"/>
      <c r="D12" s="187">
        <v>28774.08</v>
      </c>
      <c r="E12" s="157"/>
      <c r="F12" s="78">
        <f>C12+D12+E12</f>
        <v>28774.08</v>
      </c>
      <c r="G12" s="142">
        <f>-5034.81</f>
        <v>-5034.81</v>
      </c>
      <c r="H12" s="209"/>
      <c r="I12" s="124">
        <f>F12+G12+H12</f>
        <v>23739.27</v>
      </c>
      <c r="J12" s="142"/>
      <c r="K12" s="230"/>
      <c r="L12" s="279">
        <f>I12+J12+K12</f>
        <v>23739.27</v>
      </c>
      <c r="M12" s="225"/>
      <c r="N12" s="185"/>
      <c r="O12" s="293">
        <f>L12+M12+N12</f>
        <v>23739.27</v>
      </c>
      <c r="P12" s="323"/>
      <c r="Q12" s="329">
        <f t="shared" si="0"/>
        <v>23739.27</v>
      </c>
      <c r="R12" s="345">
        <v>23739.27</v>
      </c>
      <c r="S12" s="338">
        <f aca="true" t="shared" si="1" ref="S12:S78">R12/Q12*100</f>
        <v>100</v>
      </c>
    </row>
    <row r="13" spans="1:19" ht="12.75">
      <c r="A13" s="61" t="s">
        <v>394</v>
      </c>
      <c r="B13" s="54"/>
      <c r="C13" s="75"/>
      <c r="D13" s="187"/>
      <c r="E13" s="157"/>
      <c r="F13" s="78"/>
      <c r="G13" s="142"/>
      <c r="H13" s="209"/>
      <c r="I13" s="124"/>
      <c r="J13" s="142"/>
      <c r="K13" s="230"/>
      <c r="L13" s="279"/>
      <c r="M13" s="225"/>
      <c r="N13" s="185"/>
      <c r="O13" s="293"/>
      <c r="P13" s="323"/>
      <c r="Q13" s="329"/>
      <c r="R13" s="345">
        <v>1592.55</v>
      </c>
      <c r="S13" s="361" t="s">
        <v>400</v>
      </c>
    </row>
    <row r="14" spans="1:19" ht="12.75">
      <c r="A14" s="10" t="s">
        <v>387</v>
      </c>
      <c r="B14" s="52"/>
      <c r="C14" s="75">
        <f aca="true" t="shared" si="2" ref="C14:R14">SUM(C16:C40)+C47</f>
        <v>230629.3</v>
      </c>
      <c r="D14" s="185">
        <f t="shared" si="2"/>
        <v>16892.77</v>
      </c>
      <c r="E14" s="156">
        <f t="shared" si="2"/>
        <v>0</v>
      </c>
      <c r="F14" s="77">
        <f t="shared" si="2"/>
        <v>247522.07</v>
      </c>
      <c r="G14" s="141">
        <f t="shared" si="2"/>
        <v>70068.09</v>
      </c>
      <c r="H14" s="209">
        <f t="shared" si="2"/>
        <v>10243.17</v>
      </c>
      <c r="I14" s="123">
        <f t="shared" si="2"/>
        <v>327833.32999999996</v>
      </c>
      <c r="J14" s="141">
        <f>SUM(J16:J40)+J47</f>
        <v>14993.759999999998</v>
      </c>
      <c r="K14" s="230">
        <f t="shared" si="2"/>
        <v>0</v>
      </c>
      <c r="L14" s="217">
        <f>SUM(L16:L40)+L47</f>
        <v>342827.08999999997</v>
      </c>
      <c r="M14" s="230">
        <f>SUM(M16:M40)+M47</f>
        <v>13402.35</v>
      </c>
      <c r="N14" s="209">
        <f>SUM(N16:N40)+N47</f>
        <v>0</v>
      </c>
      <c r="O14" s="228">
        <f>SUM(O16:O40)+O47</f>
        <v>356229.43999999994</v>
      </c>
      <c r="P14" s="75">
        <f t="shared" si="2"/>
        <v>-273.1</v>
      </c>
      <c r="Q14" s="77">
        <f t="shared" si="2"/>
        <v>359276.33999999997</v>
      </c>
      <c r="R14" s="346">
        <f t="shared" si="2"/>
        <v>375360.05</v>
      </c>
      <c r="S14" s="337">
        <f t="shared" si="1"/>
        <v>104.47669612755463</v>
      </c>
    </row>
    <row r="15" spans="1:19" ht="10.5" customHeight="1">
      <c r="A15" s="11" t="s">
        <v>18</v>
      </c>
      <c r="B15" s="53"/>
      <c r="C15" s="75"/>
      <c r="D15" s="185"/>
      <c r="E15" s="156"/>
      <c r="F15" s="77"/>
      <c r="G15" s="141"/>
      <c r="H15" s="209"/>
      <c r="I15" s="123"/>
      <c r="J15" s="141"/>
      <c r="K15" s="230"/>
      <c r="L15" s="217"/>
      <c r="M15" s="76"/>
      <c r="N15" s="185"/>
      <c r="O15" s="292"/>
      <c r="P15" s="323"/>
      <c r="Q15" s="329"/>
      <c r="R15" s="345"/>
      <c r="S15" s="338"/>
    </row>
    <row r="16" spans="1:19" ht="12.75">
      <c r="A16" s="12" t="s">
        <v>19</v>
      </c>
      <c r="B16" s="54"/>
      <c r="C16" s="79">
        <v>4000</v>
      </c>
      <c r="D16" s="186"/>
      <c r="E16" s="157"/>
      <c r="F16" s="78">
        <f>C16+D16+E16</f>
        <v>4000</v>
      </c>
      <c r="G16" s="142"/>
      <c r="H16" s="210"/>
      <c r="I16" s="124">
        <f>F16+G16+H16</f>
        <v>4000</v>
      </c>
      <c r="J16" s="142"/>
      <c r="K16" s="231"/>
      <c r="L16" s="279">
        <f>I16+J16+K16</f>
        <v>4000</v>
      </c>
      <c r="M16" s="225"/>
      <c r="N16" s="186"/>
      <c r="O16" s="293">
        <f>L16+M16+N16</f>
        <v>4000</v>
      </c>
      <c r="P16" s="323"/>
      <c r="Q16" s="329">
        <f t="shared" si="0"/>
        <v>4000</v>
      </c>
      <c r="R16" s="345">
        <v>1499.73</v>
      </c>
      <c r="S16" s="338">
        <f t="shared" si="1"/>
        <v>37.49325</v>
      </c>
    </row>
    <row r="17" spans="1:19" ht="12.75">
      <c r="A17" s="12" t="s">
        <v>20</v>
      </c>
      <c r="B17" s="54"/>
      <c r="C17" s="79"/>
      <c r="D17" s="186"/>
      <c r="E17" s="157"/>
      <c r="F17" s="78">
        <f aca="true" t="shared" si="3" ref="F17:F47">C17+D17+E17</f>
        <v>0</v>
      </c>
      <c r="G17" s="142"/>
      <c r="H17" s="210"/>
      <c r="I17" s="124">
        <f aca="true" t="shared" si="4" ref="I17:I38">F17+G17+H17</f>
        <v>0</v>
      </c>
      <c r="J17" s="142"/>
      <c r="K17" s="231"/>
      <c r="L17" s="279">
        <f aca="true" t="shared" si="5" ref="L17:L38">I17+J17+K17</f>
        <v>0</v>
      </c>
      <c r="M17" s="225"/>
      <c r="N17" s="186"/>
      <c r="O17" s="293">
        <f aca="true" t="shared" si="6" ref="O17:O38">L17+M17+N17</f>
        <v>0</v>
      </c>
      <c r="P17" s="323"/>
      <c r="Q17" s="329">
        <f t="shared" si="0"/>
        <v>0</v>
      </c>
      <c r="R17" s="345">
        <v>5226.59</v>
      </c>
      <c r="S17" s="361" t="s">
        <v>400</v>
      </c>
    </row>
    <row r="18" spans="1:19" ht="12.75" hidden="1">
      <c r="A18" s="12" t="s">
        <v>21</v>
      </c>
      <c r="B18" s="54"/>
      <c r="C18" s="79"/>
      <c r="D18" s="186"/>
      <c r="E18" s="157"/>
      <c r="F18" s="78">
        <f t="shared" si="3"/>
        <v>0</v>
      </c>
      <c r="G18" s="142"/>
      <c r="H18" s="210"/>
      <c r="I18" s="124">
        <f t="shared" si="4"/>
        <v>0</v>
      </c>
      <c r="J18" s="142"/>
      <c r="K18" s="231"/>
      <c r="L18" s="279">
        <f t="shared" si="5"/>
        <v>0</v>
      </c>
      <c r="M18" s="225"/>
      <c r="N18" s="186"/>
      <c r="O18" s="293">
        <f t="shared" si="6"/>
        <v>0</v>
      </c>
      <c r="P18" s="323"/>
      <c r="Q18" s="329">
        <f t="shared" si="0"/>
        <v>0</v>
      </c>
      <c r="R18" s="345"/>
      <c r="S18" s="338" t="s">
        <v>400</v>
      </c>
    </row>
    <row r="19" spans="1:19" ht="12.75">
      <c r="A19" s="61" t="s">
        <v>405</v>
      </c>
      <c r="B19" s="54"/>
      <c r="C19" s="79"/>
      <c r="D19" s="186"/>
      <c r="E19" s="157"/>
      <c r="F19" s="78">
        <f t="shared" si="3"/>
        <v>0</v>
      </c>
      <c r="G19" s="142">
        <f>118.86+1930.23+61724.34+1434.52</f>
        <v>65207.94999999999</v>
      </c>
      <c r="H19" s="210"/>
      <c r="I19" s="124">
        <f t="shared" si="4"/>
        <v>65207.94999999999</v>
      </c>
      <c r="J19" s="142">
        <f>7383.33+62.05-33.23</f>
        <v>7412.150000000001</v>
      </c>
      <c r="K19" s="231"/>
      <c r="L19" s="279">
        <f t="shared" si="5"/>
        <v>72620.09999999999</v>
      </c>
      <c r="M19" s="225"/>
      <c r="N19" s="186"/>
      <c r="O19" s="293">
        <f t="shared" si="6"/>
        <v>72620.09999999999</v>
      </c>
      <c r="P19" s="323"/>
      <c r="Q19" s="329">
        <f>O19+P19+3320</f>
        <v>75940.09999999999</v>
      </c>
      <c r="R19" s="345">
        <v>76342.1</v>
      </c>
      <c r="S19" s="338">
        <f t="shared" si="1"/>
        <v>100.52936459130291</v>
      </c>
    </row>
    <row r="20" spans="1:19" ht="12.75">
      <c r="A20" s="12" t="s">
        <v>22</v>
      </c>
      <c r="B20" s="54"/>
      <c r="C20" s="79">
        <v>45000</v>
      </c>
      <c r="D20" s="186"/>
      <c r="E20" s="157"/>
      <c r="F20" s="78">
        <f t="shared" si="3"/>
        <v>45000</v>
      </c>
      <c r="G20" s="142"/>
      <c r="H20" s="210"/>
      <c r="I20" s="124">
        <f t="shared" si="4"/>
        <v>45000</v>
      </c>
      <c r="J20" s="142"/>
      <c r="K20" s="231"/>
      <c r="L20" s="279">
        <f t="shared" si="5"/>
        <v>45000</v>
      </c>
      <c r="M20" s="225"/>
      <c r="N20" s="186"/>
      <c r="O20" s="293">
        <f t="shared" si="6"/>
        <v>45000</v>
      </c>
      <c r="P20" s="323"/>
      <c r="Q20" s="329">
        <f t="shared" si="0"/>
        <v>45000</v>
      </c>
      <c r="R20" s="345">
        <v>30053.25</v>
      </c>
      <c r="S20" s="338">
        <f t="shared" si="1"/>
        <v>66.78500000000001</v>
      </c>
    </row>
    <row r="21" spans="1:19" ht="12.75">
      <c r="A21" s="12" t="s">
        <v>24</v>
      </c>
      <c r="B21" s="54"/>
      <c r="C21" s="79"/>
      <c r="D21" s="186"/>
      <c r="E21" s="157"/>
      <c r="F21" s="78">
        <f t="shared" si="3"/>
        <v>0</v>
      </c>
      <c r="G21" s="142"/>
      <c r="H21" s="210"/>
      <c r="I21" s="124">
        <f t="shared" si="4"/>
        <v>0</v>
      </c>
      <c r="J21" s="142"/>
      <c r="K21" s="231"/>
      <c r="L21" s="279">
        <f t="shared" si="5"/>
        <v>0</v>
      </c>
      <c r="M21" s="225"/>
      <c r="N21" s="186"/>
      <c r="O21" s="293">
        <f t="shared" si="6"/>
        <v>0</v>
      </c>
      <c r="P21" s="323"/>
      <c r="Q21" s="329">
        <f t="shared" si="0"/>
        <v>0</v>
      </c>
      <c r="R21" s="345">
        <v>955.94</v>
      </c>
      <c r="S21" s="361" t="s">
        <v>400</v>
      </c>
    </row>
    <row r="22" spans="1:19" ht="12.75">
      <c r="A22" s="13" t="s">
        <v>169</v>
      </c>
      <c r="B22" s="55"/>
      <c r="C22" s="79">
        <v>21478.3</v>
      </c>
      <c r="D22" s="186"/>
      <c r="E22" s="157"/>
      <c r="F22" s="78">
        <f t="shared" si="3"/>
        <v>21478.3</v>
      </c>
      <c r="G22" s="142"/>
      <c r="H22" s="210"/>
      <c r="I22" s="124">
        <f t="shared" si="4"/>
        <v>21478.3</v>
      </c>
      <c r="J22" s="142"/>
      <c r="K22" s="231"/>
      <c r="L22" s="279">
        <f t="shared" si="5"/>
        <v>21478.3</v>
      </c>
      <c r="M22" s="225">
        <f>1533.04</f>
        <v>1533.04</v>
      </c>
      <c r="N22" s="186"/>
      <c r="O22" s="293">
        <f t="shared" si="6"/>
        <v>23011.34</v>
      </c>
      <c r="P22" s="323"/>
      <c r="Q22" s="329">
        <f t="shared" si="0"/>
        <v>23011.34</v>
      </c>
      <c r="R22" s="345">
        <v>23167.74</v>
      </c>
      <c r="S22" s="338">
        <f t="shared" si="1"/>
        <v>100.6796648956558</v>
      </c>
    </row>
    <row r="23" spans="1:19" ht="12.75">
      <c r="A23" s="13" t="s">
        <v>184</v>
      </c>
      <c r="B23" s="55"/>
      <c r="C23" s="79">
        <v>41363</v>
      </c>
      <c r="D23" s="186">
        <f>8637</f>
        <v>8637</v>
      </c>
      <c r="E23" s="157"/>
      <c r="F23" s="78">
        <f t="shared" si="3"/>
        <v>50000</v>
      </c>
      <c r="G23" s="142"/>
      <c r="H23" s="210"/>
      <c r="I23" s="124">
        <f t="shared" si="4"/>
        <v>50000</v>
      </c>
      <c r="J23" s="142"/>
      <c r="K23" s="231"/>
      <c r="L23" s="279">
        <f t="shared" si="5"/>
        <v>50000</v>
      </c>
      <c r="M23" s="225"/>
      <c r="N23" s="186"/>
      <c r="O23" s="293">
        <f t="shared" si="6"/>
        <v>50000</v>
      </c>
      <c r="P23" s="323"/>
      <c r="Q23" s="329">
        <f t="shared" si="0"/>
        <v>50000</v>
      </c>
      <c r="R23" s="345">
        <v>50000</v>
      </c>
      <c r="S23" s="338">
        <f t="shared" si="1"/>
        <v>100</v>
      </c>
    </row>
    <row r="24" spans="1:19" ht="12.75">
      <c r="A24" s="13" t="s">
        <v>380</v>
      </c>
      <c r="B24" s="55"/>
      <c r="C24" s="79"/>
      <c r="D24" s="186"/>
      <c r="E24" s="157"/>
      <c r="F24" s="78"/>
      <c r="G24" s="142"/>
      <c r="H24" s="210"/>
      <c r="I24" s="124"/>
      <c r="J24" s="142"/>
      <c r="K24" s="231"/>
      <c r="L24" s="279">
        <f t="shared" si="5"/>
        <v>0</v>
      </c>
      <c r="M24" s="225">
        <f>7400</f>
        <v>7400</v>
      </c>
      <c r="N24" s="186"/>
      <c r="O24" s="293">
        <f t="shared" si="6"/>
        <v>7400</v>
      </c>
      <c r="P24" s="323"/>
      <c r="Q24" s="329">
        <f t="shared" si="0"/>
        <v>7400</v>
      </c>
      <c r="R24" s="345">
        <v>8500</v>
      </c>
      <c r="S24" s="338">
        <f t="shared" si="1"/>
        <v>114.86486486486487</v>
      </c>
    </row>
    <row r="25" spans="1:19" ht="12.75">
      <c r="A25" s="13" t="s">
        <v>282</v>
      </c>
      <c r="B25" s="55"/>
      <c r="C25" s="79"/>
      <c r="D25" s="186"/>
      <c r="E25" s="157"/>
      <c r="F25" s="78">
        <f t="shared" si="3"/>
        <v>0</v>
      </c>
      <c r="G25" s="142"/>
      <c r="H25" s="210"/>
      <c r="I25" s="124">
        <f t="shared" si="4"/>
        <v>0</v>
      </c>
      <c r="J25" s="142"/>
      <c r="K25" s="231"/>
      <c r="L25" s="279">
        <f t="shared" si="5"/>
        <v>0</v>
      </c>
      <c r="M25" s="225"/>
      <c r="N25" s="186"/>
      <c r="O25" s="293">
        <f t="shared" si="6"/>
        <v>0</v>
      </c>
      <c r="P25" s="323"/>
      <c r="Q25" s="329">
        <f t="shared" si="0"/>
        <v>0</v>
      </c>
      <c r="R25" s="345">
        <v>6090.37</v>
      </c>
      <c r="S25" s="361" t="s">
        <v>400</v>
      </c>
    </row>
    <row r="26" spans="1:19" ht="12.75">
      <c r="A26" s="13" t="s">
        <v>23</v>
      </c>
      <c r="B26" s="55"/>
      <c r="C26" s="79"/>
      <c r="D26" s="186"/>
      <c r="E26" s="157"/>
      <c r="F26" s="78">
        <f t="shared" si="3"/>
        <v>0</v>
      </c>
      <c r="G26" s="142">
        <f>0.18+15.51+218.24</f>
        <v>233.93</v>
      </c>
      <c r="H26" s="210"/>
      <c r="I26" s="124">
        <f t="shared" si="4"/>
        <v>233.93</v>
      </c>
      <c r="J26" s="142">
        <f>11.71</f>
        <v>11.71</v>
      </c>
      <c r="K26" s="231"/>
      <c r="L26" s="279">
        <f t="shared" si="5"/>
        <v>245.64000000000001</v>
      </c>
      <c r="M26" s="320">
        <f>87.63</f>
        <v>87.63</v>
      </c>
      <c r="N26" s="186"/>
      <c r="O26" s="293">
        <f t="shared" si="6"/>
        <v>333.27</v>
      </c>
      <c r="P26" s="323"/>
      <c r="Q26" s="329">
        <f t="shared" si="0"/>
        <v>333.27</v>
      </c>
      <c r="R26" s="345">
        <v>809.47</v>
      </c>
      <c r="S26" s="338">
        <f t="shared" si="1"/>
        <v>242.88714855822607</v>
      </c>
    </row>
    <row r="27" spans="1:19" ht="12.75">
      <c r="A27" s="13" t="s">
        <v>357</v>
      </c>
      <c r="B27" s="55"/>
      <c r="C27" s="79"/>
      <c r="D27" s="186"/>
      <c r="E27" s="157"/>
      <c r="F27" s="78">
        <f t="shared" si="3"/>
        <v>0</v>
      </c>
      <c r="G27" s="142">
        <v>47.58</v>
      </c>
      <c r="H27" s="210"/>
      <c r="I27" s="124">
        <f t="shared" si="4"/>
        <v>47.58</v>
      </c>
      <c r="J27" s="142"/>
      <c r="K27" s="231"/>
      <c r="L27" s="279">
        <f t="shared" si="5"/>
        <v>47.58</v>
      </c>
      <c r="M27" s="225"/>
      <c r="N27" s="186"/>
      <c r="O27" s="293">
        <f t="shared" si="6"/>
        <v>47.58</v>
      </c>
      <c r="P27" s="323"/>
      <c r="Q27" s="329">
        <f t="shared" si="0"/>
        <v>47.58</v>
      </c>
      <c r="R27" s="345">
        <v>61.04</v>
      </c>
      <c r="S27" s="338">
        <f t="shared" si="1"/>
        <v>128.28919714165616</v>
      </c>
    </row>
    <row r="28" spans="1:19" ht="12.75">
      <c r="A28" s="13" t="s">
        <v>360</v>
      </c>
      <c r="B28" s="55"/>
      <c r="C28" s="79"/>
      <c r="D28" s="186"/>
      <c r="E28" s="157"/>
      <c r="F28" s="78">
        <f t="shared" si="3"/>
        <v>0</v>
      </c>
      <c r="G28" s="142">
        <v>7.17</v>
      </c>
      <c r="H28" s="210"/>
      <c r="I28" s="124">
        <f t="shared" si="4"/>
        <v>7.17</v>
      </c>
      <c r="J28" s="142"/>
      <c r="K28" s="231"/>
      <c r="L28" s="279">
        <f t="shared" si="5"/>
        <v>7.17</v>
      </c>
      <c r="M28" s="225"/>
      <c r="N28" s="186"/>
      <c r="O28" s="293">
        <f t="shared" si="6"/>
        <v>7.17</v>
      </c>
      <c r="P28" s="323"/>
      <c r="Q28" s="329">
        <f t="shared" si="0"/>
        <v>7.17</v>
      </c>
      <c r="R28" s="345">
        <v>6028.77</v>
      </c>
      <c r="S28" s="361" t="s">
        <v>400</v>
      </c>
    </row>
    <row r="29" spans="1:19" ht="12.75">
      <c r="A29" s="13" t="s">
        <v>403</v>
      </c>
      <c r="B29" s="55"/>
      <c r="C29" s="79"/>
      <c r="D29" s="186"/>
      <c r="E29" s="157"/>
      <c r="F29" s="78"/>
      <c r="G29" s="142"/>
      <c r="H29" s="210"/>
      <c r="I29" s="124"/>
      <c r="J29" s="142"/>
      <c r="K29" s="231"/>
      <c r="L29" s="279"/>
      <c r="M29" s="225"/>
      <c r="N29" s="186"/>
      <c r="O29" s="293"/>
      <c r="P29" s="323"/>
      <c r="Q29" s="329">
        <f t="shared" si="0"/>
        <v>0</v>
      </c>
      <c r="R29" s="345">
        <v>257.87</v>
      </c>
      <c r="S29" s="361" t="s">
        <v>400</v>
      </c>
    </row>
    <row r="30" spans="1:19" ht="12.75">
      <c r="A30" s="13" t="s">
        <v>185</v>
      </c>
      <c r="B30" s="55"/>
      <c r="C30" s="79"/>
      <c r="D30" s="186"/>
      <c r="E30" s="157"/>
      <c r="F30" s="78">
        <f t="shared" si="3"/>
        <v>0</v>
      </c>
      <c r="G30" s="142"/>
      <c r="H30" s="210"/>
      <c r="I30" s="124">
        <f t="shared" si="4"/>
        <v>0</v>
      </c>
      <c r="J30" s="142"/>
      <c r="K30" s="231"/>
      <c r="L30" s="279">
        <f t="shared" si="5"/>
        <v>0</v>
      </c>
      <c r="M30" s="225"/>
      <c r="N30" s="186"/>
      <c r="O30" s="293">
        <f t="shared" si="6"/>
        <v>0</v>
      </c>
      <c r="P30" s="323"/>
      <c r="Q30" s="329">
        <f t="shared" si="0"/>
        <v>0</v>
      </c>
      <c r="R30" s="345">
        <v>2437.06</v>
      </c>
      <c r="S30" s="361" t="s">
        <v>400</v>
      </c>
    </row>
    <row r="31" spans="1:19" ht="12.75">
      <c r="A31" s="13" t="s">
        <v>186</v>
      </c>
      <c r="B31" s="55"/>
      <c r="C31" s="79"/>
      <c r="D31" s="186"/>
      <c r="E31" s="157"/>
      <c r="F31" s="78">
        <f t="shared" si="3"/>
        <v>0</v>
      </c>
      <c r="G31" s="142"/>
      <c r="H31" s="210"/>
      <c r="I31" s="124">
        <f t="shared" si="4"/>
        <v>0</v>
      </c>
      <c r="J31" s="142">
        <f>1231.83</f>
        <v>1231.83</v>
      </c>
      <c r="K31" s="231"/>
      <c r="L31" s="279">
        <f t="shared" si="5"/>
        <v>1231.83</v>
      </c>
      <c r="M31" s="225"/>
      <c r="N31" s="186"/>
      <c r="O31" s="293">
        <f t="shared" si="6"/>
        <v>1231.83</v>
      </c>
      <c r="P31" s="323"/>
      <c r="Q31" s="329">
        <f t="shared" si="0"/>
        <v>1231.83</v>
      </c>
      <c r="R31" s="345">
        <v>2195.46</v>
      </c>
      <c r="S31" s="338">
        <f t="shared" si="1"/>
        <v>178.22751516037115</v>
      </c>
    </row>
    <row r="32" spans="1:19" ht="12.75">
      <c r="A32" s="13" t="s">
        <v>329</v>
      </c>
      <c r="B32" s="55"/>
      <c r="C32" s="79"/>
      <c r="D32" s="186">
        <f>243.01</f>
        <v>243.01</v>
      </c>
      <c r="E32" s="157"/>
      <c r="F32" s="78">
        <f t="shared" si="3"/>
        <v>243.01</v>
      </c>
      <c r="G32" s="142"/>
      <c r="H32" s="210">
        <f>3318.87</f>
        <v>3318.87</v>
      </c>
      <c r="I32" s="124">
        <f t="shared" si="4"/>
        <v>3561.88</v>
      </c>
      <c r="J32" s="142">
        <f>162.01+290.47</f>
        <v>452.48</v>
      </c>
      <c r="K32" s="231"/>
      <c r="L32" s="279">
        <f t="shared" si="5"/>
        <v>4014.36</v>
      </c>
      <c r="M32" s="225"/>
      <c r="N32" s="186"/>
      <c r="O32" s="293">
        <f t="shared" si="6"/>
        <v>4014.36</v>
      </c>
      <c r="P32" s="323"/>
      <c r="Q32" s="329">
        <f t="shared" si="0"/>
        <v>4014.36</v>
      </c>
      <c r="R32" s="345">
        <v>5320.66</v>
      </c>
      <c r="S32" s="338">
        <f t="shared" si="1"/>
        <v>132.54067896252454</v>
      </c>
    </row>
    <row r="33" spans="1:19" ht="12.75">
      <c r="A33" s="13" t="s">
        <v>187</v>
      </c>
      <c r="B33" s="55"/>
      <c r="C33" s="79"/>
      <c r="D33" s="186">
        <f>5.71</f>
        <v>5.71</v>
      </c>
      <c r="E33" s="157"/>
      <c r="F33" s="78">
        <f t="shared" si="3"/>
        <v>5.71</v>
      </c>
      <c r="G33" s="142">
        <f>185.6</f>
        <v>185.6</v>
      </c>
      <c r="H33" s="210"/>
      <c r="I33" s="124">
        <f t="shared" si="4"/>
        <v>191.31</v>
      </c>
      <c r="J33" s="142">
        <f>208.55</f>
        <v>208.55</v>
      </c>
      <c r="K33" s="231"/>
      <c r="L33" s="279">
        <f t="shared" si="5"/>
        <v>399.86</v>
      </c>
      <c r="M33" s="225"/>
      <c r="N33" s="186"/>
      <c r="O33" s="293">
        <f t="shared" si="6"/>
        <v>399.86</v>
      </c>
      <c r="P33" s="323"/>
      <c r="Q33" s="329">
        <f t="shared" si="0"/>
        <v>399.86</v>
      </c>
      <c r="R33" s="345">
        <v>3017.55</v>
      </c>
      <c r="S33" s="338">
        <f t="shared" si="1"/>
        <v>754.6516280698245</v>
      </c>
    </row>
    <row r="34" spans="1:19" ht="12.75">
      <c r="A34" s="13" t="s">
        <v>176</v>
      </c>
      <c r="B34" s="55"/>
      <c r="C34" s="79"/>
      <c r="D34" s="186"/>
      <c r="E34" s="157"/>
      <c r="F34" s="78">
        <f t="shared" si="3"/>
        <v>0</v>
      </c>
      <c r="G34" s="142"/>
      <c r="H34" s="210"/>
      <c r="I34" s="124">
        <f t="shared" si="4"/>
        <v>0</v>
      </c>
      <c r="J34" s="142"/>
      <c r="K34" s="231"/>
      <c r="L34" s="279">
        <f t="shared" si="5"/>
        <v>0</v>
      </c>
      <c r="M34" s="225"/>
      <c r="N34" s="186"/>
      <c r="O34" s="293">
        <f t="shared" si="6"/>
        <v>0</v>
      </c>
      <c r="P34" s="323"/>
      <c r="Q34" s="329">
        <f t="shared" si="0"/>
        <v>0</v>
      </c>
      <c r="R34" s="345">
        <v>364.16</v>
      </c>
      <c r="S34" s="361" t="s">
        <v>400</v>
      </c>
    </row>
    <row r="35" spans="1:19" ht="12.75">
      <c r="A35" s="13" t="s">
        <v>188</v>
      </c>
      <c r="B35" s="55"/>
      <c r="C35" s="79"/>
      <c r="D35" s="186"/>
      <c r="E35" s="157"/>
      <c r="F35" s="78">
        <f t="shared" si="3"/>
        <v>0</v>
      </c>
      <c r="G35" s="142"/>
      <c r="H35" s="210"/>
      <c r="I35" s="124">
        <f t="shared" si="4"/>
        <v>0</v>
      </c>
      <c r="J35" s="142"/>
      <c r="K35" s="231"/>
      <c r="L35" s="279">
        <f t="shared" si="5"/>
        <v>0</v>
      </c>
      <c r="M35" s="225"/>
      <c r="N35" s="186"/>
      <c r="O35" s="293">
        <f t="shared" si="6"/>
        <v>0</v>
      </c>
      <c r="P35" s="323"/>
      <c r="Q35" s="329">
        <f t="shared" si="0"/>
        <v>0</v>
      </c>
      <c r="R35" s="345">
        <v>230</v>
      </c>
      <c r="S35" s="361" t="s">
        <v>400</v>
      </c>
    </row>
    <row r="36" spans="1:19" ht="12.75">
      <c r="A36" s="13" t="s">
        <v>401</v>
      </c>
      <c r="B36" s="55"/>
      <c r="C36" s="79"/>
      <c r="D36" s="186"/>
      <c r="E36" s="157"/>
      <c r="F36" s="78"/>
      <c r="G36" s="142"/>
      <c r="H36" s="210"/>
      <c r="I36" s="124"/>
      <c r="J36" s="142"/>
      <c r="K36" s="231"/>
      <c r="L36" s="279"/>
      <c r="M36" s="225"/>
      <c r="N36" s="186"/>
      <c r="O36" s="293"/>
      <c r="P36" s="323"/>
      <c r="Q36" s="329">
        <f t="shared" si="0"/>
        <v>0</v>
      </c>
      <c r="R36" s="345">
        <v>35.29</v>
      </c>
      <c r="S36" s="361" t="s">
        <v>400</v>
      </c>
    </row>
    <row r="37" spans="1:19" ht="12.75">
      <c r="A37" s="13" t="s">
        <v>355</v>
      </c>
      <c r="B37" s="55"/>
      <c r="C37" s="79"/>
      <c r="D37" s="186"/>
      <c r="E37" s="157"/>
      <c r="F37" s="78">
        <f t="shared" si="3"/>
        <v>0</v>
      </c>
      <c r="G37" s="142">
        <f>502.22</f>
        <v>502.22</v>
      </c>
      <c r="H37" s="210"/>
      <c r="I37" s="124">
        <f t="shared" si="4"/>
        <v>502.22</v>
      </c>
      <c r="J37" s="142">
        <f>29.5</f>
        <v>29.5</v>
      </c>
      <c r="K37" s="231"/>
      <c r="L37" s="279">
        <f t="shared" si="5"/>
        <v>531.72</v>
      </c>
      <c r="M37" s="225">
        <f>67.06</f>
        <v>67.06</v>
      </c>
      <c r="N37" s="186"/>
      <c r="O37" s="293">
        <f t="shared" si="6"/>
        <v>598.78</v>
      </c>
      <c r="P37" s="323"/>
      <c r="Q37" s="329">
        <f t="shared" si="0"/>
        <v>598.78</v>
      </c>
      <c r="R37" s="345">
        <v>834.59</v>
      </c>
      <c r="S37" s="338">
        <f t="shared" si="1"/>
        <v>139.38174287718363</v>
      </c>
    </row>
    <row r="38" spans="1:19" ht="12.75">
      <c r="A38" s="13" t="s">
        <v>189</v>
      </c>
      <c r="B38" s="55"/>
      <c r="C38" s="79"/>
      <c r="D38" s="186"/>
      <c r="E38" s="157"/>
      <c r="F38" s="78">
        <f t="shared" si="3"/>
        <v>0</v>
      </c>
      <c r="G38" s="142"/>
      <c r="H38" s="210"/>
      <c r="I38" s="124">
        <f t="shared" si="4"/>
        <v>0</v>
      </c>
      <c r="J38" s="142"/>
      <c r="K38" s="231"/>
      <c r="L38" s="279">
        <f t="shared" si="5"/>
        <v>0</v>
      </c>
      <c r="M38" s="225"/>
      <c r="N38" s="186"/>
      <c r="O38" s="293">
        <f t="shared" si="6"/>
        <v>0</v>
      </c>
      <c r="P38" s="323"/>
      <c r="Q38" s="329">
        <f t="shared" si="0"/>
        <v>0</v>
      </c>
      <c r="R38" s="345">
        <v>128.87</v>
      </c>
      <c r="S38" s="361" t="s">
        <v>400</v>
      </c>
    </row>
    <row r="39" spans="1:19" ht="12.75">
      <c r="A39" s="13" t="s">
        <v>402</v>
      </c>
      <c r="B39" s="55"/>
      <c r="C39" s="79"/>
      <c r="D39" s="186"/>
      <c r="E39" s="157"/>
      <c r="F39" s="78"/>
      <c r="G39" s="364"/>
      <c r="H39" s="210"/>
      <c r="I39" s="124"/>
      <c r="J39" s="142"/>
      <c r="K39" s="231"/>
      <c r="L39" s="279"/>
      <c r="M39" s="225"/>
      <c r="N39" s="186"/>
      <c r="O39" s="293"/>
      <c r="P39" s="323"/>
      <c r="Q39" s="329">
        <f t="shared" si="0"/>
        <v>0</v>
      </c>
      <c r="R39" s="365">
        <f>98.5+22.76+294.53</f>
        <v>415.78999999999996</v>
      </c>
      <c r="S39" s="361" t="s">
        <v>400</v>
      </c>
    </row>
    <row r="40" spans="1:19" ht="12.75">
      <c r="A40" s="12" t="s">
        <v>25</v>
      </c>
      <c r="B40" s="54"/>
      <c r="C40" s="79">
        <f aca="true" t="shared" si="7" ref="C40:R40">SUM(C41:C46)</f>
        <v>118788</v>
      </c>
      <c r="D40" s="186">
        <f t="shared" si="7"/>
        <v>1896.2</v>
      </c>
      <c r="E40" s="157">
        <f t="shared" si="7"/>
        <v>0</v>
      </c>
      <c r="F40" s="78">
        <f t="shared" si="7"/>
        <v>120684.2</v>
      </c>
      <c r="G40" s="119">
        <f t="shared" si="7"/>
        <v>-21.6</v>
      </c>
      <c r="H40" s="225">
        <f t="shared" si="7"/>
        <v>0</v>
      </c>
      <c r="I40" s="124">
        <f t="shared" si="7"/>
        <v>120662.6</v>
      </c>
      <c r="J40" s="142">
        <f t="shared" si="7"/>
        <v>1182.2</v>
      </c>
      <c r="K40" s="231">
        <f t="shared" si="7"/>
        <v>0</v>
      </c>
      <c r="L40" s="279">
        <f t="shared" si="7"/>
        <v>121844.79999999999</v>
      </c>
      <c r="M40" s="231">
        <f t="shared" si="7"/>
        <v>3726.6</v>
      </c>
      <c r="N40" s="210">
        <f t="shared" si="7"/>
        <v>0</v>
      </c>
      <c r="O40" s="229">
        <f t="shared" si="7"/>
        <v>125571.4</v>
      </c>
      <c r="P40" s="79">
        <f t="shared" si="7"/>
        <v>-273.1</v>
      </c>
      <c r="Q40" s="78">
        <f t="shared" si="7"/>
        <v>125298.3</v>
      </c>
      <c r="R40" s="78">
        <f t="shared" si="7"/>
        <v>125263.7</v>
      </c>
      <c r="S40" s="338">
        <f t="shared" si="1"/>
        <v>99.97238589829232</v>
      </c>
    </row>
    <row r="41" spans="1:19" ht="12.75">
      <c r="A41" s="12" t="s">
        <v>26</v>
      </c>
      <c r="B41" s="54"/>
      <c r="C41" s="79">
        <v>40481</v>
      </c>
      <c r="D41" s="186">
        <f>1896.2</f>
        <v>1896.2</v>
      </c>
      <c r="E41" s="157"/>
      <c r="F41" s="78">
        <f t="shared" si="3"/>
        <v>42377.2</v>
      </c>
      <c r="G41" s="142">
        <f>-21.6</f>
        <v>-21.6</v>
      </c>
      <c r="H41" s="210"/>
      <c r="I41" s="124">
        <f aca="true" t="shared" si="8" ref="I41:I47">F41+G41+H41</f>
        <v>42355.6</v>
      </c>
      <c r="J41" s="142">
        <f>747.7+434.5</f>
        <v>1182.2</v>
      </c>
      <c r="K41" s="231"/>
      <c r="L41" s="279">
        <f aca="true" t="shared" si="9" ref="L41:L47">I41+J41+K41</f>
        <v>43537.799999999996</v>
      </c>
      <c r="M41" s="225">
        <f>108.5</f>
        <v>108.5</v>
      </c>
      <c r="N41" s="186"/>
      <c r="O41" s="293">
        <f aca="true" t="shared" si="10" ref="O41:O47">L41+M41+N41</f>
        <v>43646.299999999996</v>
      </c>
      <c r="P41" s="323">
        <f>-273.1</f>
        <v>-273.1</v>
      </c>
      <c r="Q41" s="329">
        <f t="shared" si="0"/>
        <v>43373.2</v>
      </c>
      <c r="R41" s="345">
        <v>43373.2</v>
      </c>
      <c r="S41" s="338">
        <f t="shared" si="1"/>
        <v>100</v>
      </c>
    </row>
    <row r="42" spans="1:19" ht="12.75">
      <c r="A42" s="13" t="s">
        <v>190</v>
      </c>
      <c r="B42" s="55"/>
      <c r="C42" s="79">
        <v>8457</v>
      </c>
      <c r="D42" s="186"/>
      <c r="E42" s="157"/>
      <c r="F42" s="78">
        <f t="shared" si="3"/>
        <v>8457</v>
      </c>
      <c r="G42" s="142"/>
      <c r="H42" s="210"/>
      <c r="I42" s="124">
        <f t="shared" si="8"/>
        <v>8457</v>
      </c>
      <c r="J42" s="142"/>
      <c r="K42" s="231"/>
      <c r="L42" s="279">
        <f t="shared" si="9"/>
        <v>8457</v>
      </c>
      <c r="M42" s="225">
        <f>3500</f>
        <v>3500</v>
      </c>
      <c r="N42" s="186"/>
      <c r="O42" s="293">
        <f t="shared" si="10"/>
        <v>11957</v>
      </c>
      <c r="P42" s="323"/>
      <c r="Q42" s="329">
        <f t="shared" si="0"/>
        <v>11957</v>
      </c>
      <c r="R42" s="345">
        <v>11957</v>
      </c>
      <c r="S42" s="338">
        <f t="shared" si="1"/>
        <v>100</v>
      </c>
    </row>
    <row r="43" spans="1:19" ht="12.75">
      <c r="A43" s="12" t="s">
        <v>27</v>
      </c>
      <c r="B43" s="54"/>
      <c r="C43" s="79">
        <v>24582</v>
      </c>
      <c r="D43" s="186"/>
      <c r="E43" s="157"/>
      <c r="F43" s="78">
        <f t="shared" si="3"/>
        <v>24582</v>
      </c>
      <c r="G43" s="142"/>
      <c r="H43" s="210"/>
      <c r="I43" s="124">
        <f t="shared" si="8"/>
        <v>24582</v>
      </c>
      <c r="J43" s="142"/>
      <c r="K43" s="231"/>
      <c r="L43" s="279">
        <f t="shared" si="9"/>
        <v>24582</v>
      </c>
      <c r="M43" s="225"/>
      <c r="N43" s="186"/>
      <c r="O43" s="293">
        <f t="shared" si="10"/>
        <v>24582</v>
      </c>
      <c r="P43" s="323"/>
      <c r="Q43" s="329">
        <f t="shared" si="0"/>
        <v>24582</v>
      </c>
      <c r="R43" s="345">
        <v>24582</v>
      </c>
      <c r="S43" s="338">
        <f t="shared" si="1"/>
        <v>100</v>
      </c>
    </row>
    <row r="44" spans="1:19" ht="12.75">
      <c r="A44" s="13" t="s">
        <v>191</v>
      </c>
      <c r="B44" s="55"/>
      <c r="C44" s="79">
        <v>11340</v>
      </c>
      <c r="D44" s="186"/>
      <c r="E44" s="157"/>
      <c r="F44" s="78">
        <f t="shared" si="3"/>
        <v>11340</v>
      </c>
      <c r="G44" s="142"/>
      <c r="H44" s="210"/>
      <c r="I44" s="124">
        <f t="shared" si="8"/>
        <v>11340</v>
      </c>
      <c r="J44" s="142"/>
      <c r="K44" s="231"/>
      <c r="L44" s="279">
        <f t="shared" si="9"/>
        <v>11340</v>
      </c>
      <c r="M44" s="225"/>
      <c r="N44" s="186"/>
      <c r="O44" s="293">
        <f t="shared" si="10"/>
        <v>11340</v>
      </c>
      <c r="P44" s="323"/>
      <c r="Q44" s="329">
        <f t="shared" si="0"/>
        <v>11340</v>
      </c>
      <c r="R44" s="363">
        <v>11305.4</v>
      </c>
      <c r="S44" s="338">
        <f t="shared" si="1"/>
        <v>99.69488536155202</v>
      </c>
    </row>
    <row r="45" spans="1:19" ht="12.75">
      <c r="A45" s="13" t="s">
        <v>307</v>
      </c>
      <c r="B45" s="55"/>
      <c r="C45" s="79">
        <v>232</v>
      </c>
      <c r="D45" s="186"/>
      <c r="E45" s="157"/>
      <c r="F45" s="78">
        <f t="shared" si="3"/>
        <v>232</v>
      </c>
      <c r="G45" s="142"/>
      <c r="H45" s="210"/>
      <c r="I45" s="124">
        <f t="shared" si="8"/>
        <v>232</v>
      </c>
      <c r="J45" s="142"/>
      <c r="K45" s="231"/>
      <c r="L45" s="279">
        <f t="shared" si="9"/>
        <v>232</v>
      </c>
      <c r="M45" s="225">
        <f>118.1</f>
        <v>118.1</v>
      </c>
      <c r="N45" s="186"/>
      <c r="O45" s="293">
        <f t="shared" si="10"/>
        <v>350.1</v>
      </c>
      <c r="P45" s="323"/>
      <c r="Q45" s="329">
        <f t="shared" si="0"/>
        <v>350.1</v>
      </c>
      <c r="R45" s="345">
        <v>350.1</v>
      </c>
      <c r="S45" s="338">
        <f t="shared" si="1"/>
        <v>100</v>
      </c>
    </row>
    <row r="46" spans="1:19" ht="12.75">
      <c r="A46" s="13" t="s">
        <v>192</v>
      </c>
      <c r="B46" s="55"/>
      <c r="C46" s="79">
        <v>33696</v>
      </c>
      <c r="D46" s="186"/>
      <c r="E46" s="157"/>
      <c r="F46" s="78">
        <f t="shared" si="3"/>
        <v>33696</v>
      </c>
      <c r="G46" s="142"/>
      <c r="H46" s="210"/>
      <c r="I46" s="124">
        <f t="shared" si="8"/>
        <v>33696</v>
      </c>
      <c r="J46" s="142"/>
      <c r="K46" s="231"/>
      <c r="L46" s="279">
        <f t="shared" si="9"/>
        <v>33696</v>
      </c>
      <c r="M46" s="225"/>
      <c r="N46" s="186"/>
      <c r="O46" s="293">
        <f t="shared" si="10"/>
        <v>33696</v>
      </c>
      <c r="P46" s="323"/>
      <c r="Q46" s="329">
        <f>O46+P46</f>
        <v>33696</v>
      </c>
      <c r="R46" s="345">
        <v>33696</v>
      </c>
      <c r="S46" s="338">
        <f t="shared" si="1"/>
        <v>100</v>
      </c>
    </row>
    <row r="47" spans="1:19" ht="12.75">
      <c r="A47" s="13" t="s">
        <v>264</v>
      </c>
      <c r="B47" s="55"/>
      <c r="C47" s="79"/>
      <c r="D47" s="188">
        <f>146.6+676.8+689.14+365.87+471.71+7.17+2043.76+1500+209.8</f>
        <v>6110.85</v>
      </c>
      <c r="E47" s="157"/>
      <c r="F47" s="78">
        <f t="shared" si="3"/>
        <v>6110.85</v>
      </c>
      <c r="G47" s="143">
        <f>1019.17+4.08+168.3+2204.89+515.97-7.17</f>
        <v>3905.24</v>
      </c>
      <c r="H47" s="211">
        <v>6924.3</v>
      </c>
      <c r="I47" s="124">
        <f t="shared" si="8"/>
        <v>16940.39</v>
      </c>
      <c r="J47" s="143">
        <f>353.26+473.63+2764.24+112.45+33.23+200+528.53</f>
        <v>4465.339999999999</v>
      </c>
      <c r="K47" s="254"/>
      <c r="L47" s="279">
        <f t="shared" si="9"/>
        <v>21405.73</v>
      </c>
      <c r="M47" s="278">
        <f>0.52+587.5</f>
        <v>588.02</v>
      </c>
      <c r="N47" s="302"/>
      <c r="O47" s="293">
        <f t="shared" si="10"/>
        <v>21993.75</v>
      </c>
      <c r="P47" s="323"/>
      <c r="Q47" s="329">
        <f>O47+P47</f>
        <v>21993.75</v>
      </c>
      <c r="R47" s="345">
        <v>26124.05</v>
      </c>
      <c r="S47" s="338">
        <f t="shared" si="1"/>
        <v>118.77942597328786</v>
      </c>
    </row>
    <row r="48" spans="1:19" ht="12.75">
      <c r="A48" s="14" t="s">
        <v>388</v>
      </c>
      <c r="B48" s="56"/>
      <c r="C48" s="80">
        <f aca="true" t="shared" si="11" ref="C48:R48">SUM(C50:C53)</f>
        <v>15000</v>
      </c>
      <c r="D48" s="189">
        <f t="shared" si="11"/>
        <v>0</v>
      </c>
      <c r="E48" s="158">
        <f t="shared" si="11"/>
        <v>0</v>
      </c>
      <c r="F48" s="81">
        <f t="shared" si="11"/>
        <v>15000</v>
      </c>
      <c r="G48" s="80">
        <f t="shared" si="11"/>
        <v>0</v>
      </c>
      <c r="H48" s="189">
        <f t="shared" si="11"/>
        <v>0</v>
      </c>
      <c r="I48" s="81">
        <f t="shared" si="11"/>
        <v>15000</v>
      </c>
      <c r="J48" s="144">
        <f t="shared" si="11"/>
        <v>0</v>
      </c>
      <c r="K48" s="232">
        <f t="shared" si="11"/>
        <v>0</v>
      </c>
      <c r="L48" s="280">
        <f t="shared" si="11"/>
        <v>15000</v>
      </c>
      <c r="M48" s="232">
        <f t="shared" si="11"/>
        <v>817</v>
      </c>
      <c r="N48" s="212">
        <f t="shared" si="11"/>
        <v>0</v>
      </c>
      <c r="O48" s="242">
        <f t="shared" si="11"/>
        <v>15817</v>
      </c>
      <c r="P48" s="80">
        <f t="shared" si="11"/>
        <v>1834.41</v>
      </c>
      <c r="Q48" s="81">
        <f t="shared" si="11"/>
        <v>17651.41</v>
      </c>
      <c r="R48" s="347">
        <f t="shared" si="11"/>
        <v>18562.519999999997</v>
      </c>
      <c r="S48" s="337">
        <f t="shared" si="1"/>
        <v>105.1616839674564</v>
      </c>
    </row>
    <row r="49" spans="1:19" ht="11.25" customHeight="1">
      <c r="A49" s="11" t="s">
        <v>18</v>
      </c>
      <c r="B49" s="53"/>
      <c r="C49" s="79"/>
      <c r="D49" s="186"/>
      <c r="E49" s="157"/>
      <c r="F49" s="78"/>
      <c r="G49" s="142"/>
      <c r="H49" s="210"/>
      <c r="I49" s="124"/>
      <c r="J49" s="142"/>
      <c r="K49" s="231"/>
      <c r="L49" s="279"/>
      <c r="M49" s="225"/>
      <c r="N49" s="186"/>
      <c r="O49" s="293"/>
      <c r="P49" s="323"/>
      <c r="Q49" s="329"/>
      <c r="R49" s="345"/>
      <c r="S49" s="338"/>
    </row>
    <row r="50" spans="1:19" ht="12.75">
      <c r="A50" s="12" t="s">
        <v>28</v>
      </c>
      <c r="B50" s="54"/>
      <c r="C50" s="79"/>
      <c r="D50" s="186"/>
      <c r="E50" s="157"/>
      <c r="F50" s="78">
        <f>C50+D50+E50</f>
        <v>0</v>
      </c>
      <c r="G50" s="142"/>
      <c r="H50" s="210"/>
      <c r="I50" s="124">
        <f>F50+G50+H50</f>
        <v>0</v>
      </c>
      <c r="J50" s="142">
        <f>880</f>
        <v>880</v>
      </c>
      <c r="K50" s="231"/>
      <c r="L50" s="279">
        <f>I50+J50+K50</f>
        <v>880</v>
      </c>
      <c r="M50" s="225">
        <f>817</f>
        <v>817</v>
      </c>
      <c r="N50" s="186"/>
      <c r="O50" s="293">
        <f>L50+M50+N50</f>
        <v>1697</v>
      </c>
      <c r="P50" s="323"/>
      <c r="Q50" s="329">
        <f t="shared" si="0"/>
        <v>1697</v>
      </c>
      <c r="R50" s="345">
        <v>7583.7</v>
      </c>
      <c r="S50" s="338">
        <f t="shared" si="1"/>
        <v>446.88862698880376</v>
      </c>
    </row>
    <row r="51" spans="1:19" ht="12.75">
      <c r="A51" s="13" t="s">
        <v>193</v>
      </c>
      <c r="B51" s="55"/>
      <c r="C51" s="79"/>
      <c r="D51" s="186"/>
      <c r="E51" s="157"/>
      <c r="F51" s="78">
        <f>C51+D51+E51</f>
        <v>0</v>
      </c>
      <c r="G51" s="142"/>
      <c r="H51" s="210"/>
      <c r="I51" s="124">
        <f>F51+G51+H51</f>
        <v>0</v>
      </c>
      <c r="J51" s="262">
        <f>190</f>
        <v>190</v>
      </c>
      <c r="K51" s="231"/>
      <c r="L51" s="279">
        <f>I51+J51+K51</f>
        <v>190</v>
      </c>
      <c r="M51" s="320"/>
      <c r="N51" s="186"/>
      <c r="O51" s="293">
        <f>L51+M51+N51</f>
        <v>190</v>
      </c>
      <c r="P51" s="323">
        <f>1834.41</f>
        <v>1834.41</v>
      </c>
      <c r="Q51" s="329">
        <f t="shared" si="0"/>
        <v>2024.41</v>
      </c>
      <c r="R51" s="345">
        <v>2032.34</v>
      </c>
      <c r="S51" s="338">
        <f t="shared" si="1"/>
        <v>100.39171906876572</v>
      </c>
    </row>
    <row r="52" spans="1:19" ht="12.75">
      <c r="A52" s="13" t="s">
        <v>265</v>
      </c>
      <c r="B52" s="55"/>
      <c r="C52" s="79">
        <v>15000</v>
      </c>
      <c r="D52" s="186"/>
      <c r="E52" s="157"/>
      <c r="F52" s="78">
        <f>C52+D52+E52</f>
        <v>15000</v>
      </c>
      <c r="G52" s="142"/>
      <c r="H52" s="210"/>
      <c r="I52" s="124">
        <f>F52+G52+H52</f>
        <v>15000</v>
      </c>
      <c r="J52" s="262">
        <f>-7849.9</f>
        <v>-7849.9</v>
      </c>
      <c r="K52" s="231"/>
      <c r="L52" s="279">
        <f>I52+J52+K52</f>
        <v>7150.1</v>
      </c>
      <c r="M52" s="320"/>
      <c r="N52" s="186"/>
      <c r="O52" s="293">
        <f>L52+M52+N52</f>
        <v>7150.1</v>
      </c>
      <c r="P52" s="323"/>
      <c r="Q52" s="329">
        <f t="shared" si="0"/>
        <v>7150.1</v>
      </c>
      <c r="R52" s="345">
        <f>2154+12.58</f>
        <v>2166.58</v>
      </c>
      <c r="S52" s="338">
        <f t="shared" si="1"/>
        <v>30.3013943860925</v>
      </c>
    </row>
    <row r="53" spans="1:19" ht="12.75">
      <c r="A53" s="12" t="s">
        <v>29</v>
      </c>
      <c r="B53" s="54"/>
      <c r="C53" s="79"/>
      <c r="D53" s="186"/>
      <c r="E53" s="157"/>
      <c r="F53" s="78">
        <f>C53+D53+E53</f>
        <v>0</v>
      </c>
      <c r="G53" s="142"/>
      <c r="H53" s="210"/>
      <c r="I53" s="124">
        <f>F53+G53+H53</f>
        <v>0</v>
      </c>
      <c r="J53" s="142">
        <f>6779.9</f>
        <v>6779.9</v>
      </c>
      <c r="K53" s="231"/>
      <c r="L53" s="279">
        <f>I53+J53+K53</f>
        <v>6779.9</v>
      </c>
      <c r="M53" s="225"/>
      <c r="N53" s="186"/>
      <c r="O53" s="293">
        <f>L53+M53+N53</f>
        <v>6779.9</v>
      </c>
      <c r="P53" s="323"/>
      <c r="Q53" s="329">
        <f t="shared" si="0"/>
        <v>6779.9</v>
      </c>
      <c r="R53" s="345">
        <v>6779.9</v>
      </c>
      <c r="S53" s="338">
        <f t="shared" si="1"/>
        <v>100</v>
      </c>
    </row>
    <row r="54" spans="1:19" ht="12.75">
      <c r="A54" s="14" t="s">
        <v>389</v>
      </c>
      <c r="B54" s="54"/>
      <c r="C54" s="79"/>
      <c r="D54" s="186"/>
      <c r="E54" s="157"/>
      <c r="F54" s="78"/>
      <c r="G54" s="142"/>
      <c r="H54" s="210"/>
      <c r="I54" s="124"/>
      <c r="J54" s="142"/>
      <c r="K54" s="231"/>
      <c r="L54" s="279"/>
      <c r="M54" s="225"/>
      <c r="N54" s="186"/>
      <c r="O54" s="293"/>
      <c r="P54" s="323"/>
      <c r="Q54" s="329"/>
      <c r="R54" s="345"/>
      <c r="S54" s="338"/>
    </row>
    <row r="55" spans="1:19" ht="12.75">
      <c r="A55" s="11" t="s">
        <v>18</v>
      </c>
      <c r="B55" s="54"/>
      <c r="C55" s="79"/>
      <c r="D55" s="186"/>
      <c r="E55" s="157"/>
      <c r="F55" s="78"/>
      <c r="G55" s="142"/>
      <c r="H55" s="210"/>
      <c r="I55" s="124"/>
      <c r="J55" s="142"/>
      <c r="K55" s="231"/>
      <c r="L55" s="279"/>
      <c r="M55" s="225"/>
      <c r="N55" s="186"/>
      <c r="O55" s="293"/>
      <c r="P55" s="323"/>
      <c r="Q55" s="329"/>
      <c r="R55" s="345"/>
      <c r="S55" s="338"/>
    </row>
    <row r="56" spans="1:19" ht="12.75">
      <c r="A56" s="10" t="s">
        <v>30</v>
      </c>
      <c r="B56" s="52"/>
      <c r="C56" s="75">
        <f aca="true" t="shared" si="12" ref="C56:R56">SUM(C58:C78)</f>
        <v>74899</v>
      </c>
      <c r="D56" s="185">
        <f t="shared" si="12"/>
        <v>5192497.470000001</v>
      </c>
      <c r="E56" s="156">
        <f t="shared" si="12"/>
        <v>0</v>
      </c>
      <c r="F56" s="77">
        <f t="shared" si="12"/>
        <v>5267396.470000001</v>
      </c>
      <c r="G56" s="75">
        <f t="shared" si="12"/>
        <v>403579.79999999993</v>
      </c>
      <c r="H56" s="185">
        <f t="shared" si="12"/>
        <v>0</v>
      </c>
      <c r="I56" s="77">
        <f t="shared" si="12"/>
        <v>5670976.27</v>
      </c>
      <c r="J56" s="141">
        <f>SUM(J58:J78)</f>
        <v>260918.88999999998</v>
      </c>
      <c r="K56" s="230">
        <f t="shared" si="12"/>
        <v>0</v>
      </c>
      <c r="L56" s="217">
        <f t="shared" si="12"/>
        <v>5931895.159999999</v>
      </c>
      <c r="M56" s="230">
        <f t="shared" si="12"/>
        <v>56823.100000000006</v>
      </c>
      <c r="N56" s="209">
        <f t="shared" si="12"/>
        <v>0</v>
      </c>
      <c r="O56" s="228">
        <f t="shared" si="12"/>
        <v>5988718.259999999</v>
      </c>
      <c r="P56" s="75">
        <f t="shared" si="12"/>
        <v>5345.0599999999995</v>
      </c>
      <c r="Q56" s="77">
        <f t="shared" si="12"/>
        <v>5994063.320000001</v>
      </c>
      <c r="R56" s="346">
        <f t="shared" si="12"/>
        <v>5994063.290000001</v>
      </c>
      <c r="S56" s="337">
        <f t="shared" si="1"/>
        <v>99.99999949950478</v>
      </c>
    </row>
    <row r="57" spans="1:19" ht="10.5" customHeight="1">
      <c r="A57" s="15" t="s">
        <v>31</v>
      </c>
      <c r="B57" s="57"/>
      <c r="C57" s="79"/>
      <c r="D57" s="186"/>
      <c r="E57" s="157"/>
      <c r="F57" s="78"/>
      <c r="G57" s="142"/>
      <c r="H57" s="210"/>
      <c r="I57" s="124"/>
      <c r="J57" s="142"/>
      <c r="K57" s="231"/>
      <c r="L57" s="279"/>
      <c r="M57" s="225"/>
      <c r="N57" s="186"/>
      <c r="O57" s="293"/>
      <c r="P57" s="323"/>
      <c r="Q57" s="329"/>
      <c r="R57" s="345"/>
      <c r="S57" s="338"/>
    </row>
    <row r="58" spans="1:19" ht="12.75">
      <c r="A58" s="13" t="s">
        <v>32</v>
      </c>
      <c r="B58" s="55"/>
      <c r="C58" s="79">
        <v>74649</v>
      </c>
      <c r="D58" s="186"/>
      <c r="E58" s="157"/>
      <c r="F58" s="78">
        <f aca="true" t="shared" si="13" ref="F58:F78">C58+D58+E58</f>
        <v>74649</v>
      </c>
      <c r="G58" s="142"/>
      <c r="H58" s="210"/>
      <c r="I58" s="124">
        <f>F58+G58+H58</f>
        <v>74649</v>
      </c>
      <c r="J58" s="142"/>
      <c r="K58" s="231"/>
      <c r="L58" s="279">
        <f>I58+J58+K58</f>
        <v>74649</v>
      </c>
      <c r="M58" s="225"/>
      <c r="N58" s="186"/>
      <c r="O58" s="293">
        <f>L58+M58+N58</f>
        <v>74649</v>
      </c>
      <c r="P58" s="323"/>
      <c r="Q58" s="329">
        <f t="shared" si="0"/>
        <v>74649</v>
      </c>
      <c r="R58" s="345">
        <v>74649</v>
      </c>
      <c r="S58" s="338">
        <f t="shared" si="1"/>
        <v>100</v>
      </c>
    </row>
    <row r="59" spans="1:19" ht="12.75">
      <c r="A59" s="13" t="s">
        <v>33</v>
      </c>
      <c r="B59" s="55"/>
      <c r="C59" s="79"/>
      <c r="D59" s="186">
        <f>168.1+14.77</f>
        <v>182.87</v>
      </c>
      <c r="E59" s="157"/>
      <c r="F59" s="78">
        <f t="shared" si="13"/>
        <v>182.87</v>
      </c>
      <c r="G59" s="142">
        <f>169.11+12.64+124.23+18.25</f>
        <v>324.23</v>
      </c>
      <c r="H59" s="210"/>
      <c r="I59" s="124">
        <f aca="true" t="shared" si="14" ref="I59:I77">F59+G59+H59</f>
        <v>507.1</v>
      </c>
      <c r="J59" s="142">
        <f>163.94+6.98+36.92+135.57+2.5+9+19.58+15+12+15+9+222.04+14.59+1.5+8.53+173.08</f>
        <v>845.23</v>
      </c>
      <c r="K59" s="231"/>
      <c r="L59" s="279">
        <f aca="true" t="shared" si="15" ref="L59:L78">I59+J59+K59</f>
        <v>1352.33</v>
      </c>
      <c r="M59" s="225">
        <f>107.4+100+8.5+3+3+12+157.78</f>
        <v>391.68</v>
      </c>
      <c r="N59" s="186"/>
      <c r="O59" s="293">
        <f aca="true" t="shared" si="16" ref="O59:O78">L59+M59+N59</f>
        <v>1744.01</v>
      </c>
      <c r="P59" s="323">
        <f>8+169.13+9+29.38+17+7.15</f>
        <v>239.66</v>
      </c>
      <c r="Q59" s="329">
        <f t="shared" si="0"/>
        <v>1983.67</v>
      </c>
      <c r="R59" s="345">
        <v>1983.66</v>
      </c>
      <c r="S59" s="338">
        <f t="shared" si="1"/>
        <v>99.99949588389198</v>
      </c>
    </row>
    <row r="60" spans="1:19" ht="12.75">
      <c r="A60" s="13" t="s">
        <v>34</v>
      </c>
      <c r="B60" s="55"/>
      <c r="C60" s="79"/>
      <c r="D60" s="186">
        <f>52780+4649948+1373+352.79+9607.17+3272.36+25.2+43.1+9511.4+7835.05</f>
        <v>4734748.07</v>
      </c>
      <c r="E60" s="157"/>
      <c r="F60" s="78">
        <f t="shared" si="13"/>
        <v>4734748.07</v>
      </c>
      <c r="G60" s="142">
        <f>361.25+216-21.6+1379.46+201.1+50210+141+5.73+721.13-129.35+159-100.49+101+121.7+4407.77+509+198.86-21.5</f>
        <v>58460.06</v>
      </c>
      <c r="H60" s="210"/>
      <c r="I60" s="124">
        <f t="shared" si="14"/>
        <v>4793208.13</v>
      </c>
      <c r="J60" s="142">
        <f>51490-107.15+28.9+2185.9+1636.18+5454.6+4698.75+91477.27+5527.8+201</f>
        <v>162593.25</v>
      </c>
      <c r="K60" s="231"/>
      <c r="L60" s="279">
        <f t="shared" si="15"/>
        <v>4955801.38</v>
      </c>
      <c r="M60" s="225">
        <f>574.94+55518-28.46-456-106</f>
        <v>55502.48</v>
      </c>
      <c r="N60" s="186"/>
      <c r="O60" s="293">
        <f t="shared" si="16"/>
        <v>5011303.86</v>
      </c>
      <c r="P60" s="323">
        <f>26189.15+477.59-0.06-7.84-1642.12-63.14-23.9-63-15.61</f>
        <v>24851.07</v>
      </c>
      <c r="Q60" s="329">
        <f t="shared" si="0"/>
        <v>5036154.930000001</v>
      </c>
      <c r="R60" s="363">
        <v>5036154.9</v>
      </c>
      <c r="S60" s="338">
        <f t="shared" si="1"/>
        <v>99.99999940430743</v>
      </c>
    </row>
    <row r="61" spans="1:19" ht="12.75">
      <c r="A61" s="13" t="s">
        <v>35</v>
      </c>
      <c r="B61" s="55"/>
      <c r="C61" s="79"/>
      <c r="D61" s="186">
        <f>453999+2500</f>
        <v>456499</v>
      </c>
      <c r="E61" s="157"/>
      <c r="F61" s="78">
        <f t="shared" si="13"/>
        <v>456499</v>
      </c>
      <c r="G61" s="142">
        <f>17.9+15.55+17.81+4069.18</f>
        <v>4120.44</v>
      </c>
      <c r="H61" s="210"/>
      <c r="I61" s="124">
        <f t="shared" si="14"/>
        <v>460619.44</v>
      </c>
      <c r="J61" s="142">
        <f>2500+17472+1318.5+1031.58+14312+6711.67+47535.18+1249.36+1413.95</f>
        <v>93544.23999999999</v>
      </c>
      <c r="K61" s="231"/>
      <c r="L61" s="279">
        <f t="shared" si="15"/>
        <v>554163.6799999999</v>
      </c>
      <c r="M61" s="225">
        <f>900</f>
        <v>900</v>
      </c>
      <c r="N61" s="186"/>
      <c r="O61" s="293">
        <f t="shared" si="16"/>
        <v>555063.6799999999</v>
      </c>
      <c r="P61" s="323">
        <f>1176+3462.05+766.92-47317.08</f>
        <v>-41912.11</v>
      </c>
      <c r="Q61" s="329">
        <f t="shared" si="0"/>
        <v>513151.56999999995</v>
      </c>
      <c r="R61" s="345">
        <v>513151.57</v>
      </c>
      <c r="S61" s="338">
        <f t="shared" si="1"/>
        <v>100.00000000000003</v>
      </c>
    </row>
    <row r="62" spans="1:19" ht="12.75">
      <c r="A62" s="13" t="s">
        <v>36</v>
      </c>
      <c r="B62" s="55"/>
      <c r="C62" s="79"/>
      <c r="D62" s="186"/>
      <c r="E62" s="157"/>
      <c r="F62" s="78">
        <f t="shared" si="13"/>
        <v>0</v>
      </c>
      <c r="G62" s="142">
        <f>1248.25+1726.48+4074.72</f>
        <v>7049.45</v>
      </c>
      <c r="H62" s="210"/>
      <c r="I62" s="124">
        <f t="shared" si="14"/>
        <v>7049.45</v>
      </c>
      <c r="J62" s="142"/>
      <c r="K62" s="231"/>
      <c r="L62" s="279">
        <f t="shared" si="15"/>
        <v>7049.45</v>
      </c>
      <c r="M62" s="225">
        <f>28.94</f>
        <v>28.94</v>
      </c>
      <c r="N62" s="186"/>
      <c r="O62" s="293">
        <f t="shared" si="16"/>
        <v>7078.389999999999</v>
      </c>
      <c r="P62" s="323">
        <f>12.34</f>
        <v>12.34</v>
      </c>
      <c r="Q62" s="329">
        <f t="shared" si="0"/>
        <v>7090.73</v>
      </c>
      <c r="R62" s="345">
        <v>7090.73</v>
      </c>
      <c r="S62" s="338">
        <f t="shared" si="1"/>
        <v>100</v>
      </c>
    </row>
    <row r="63" spans="1:19" ht="12.75">
      <c r="A63" s="13" t="s">
        <v>37</v>
      </c>
      <c r="B63" s="55"/>
      <c r="C63" s="79"/>
      <c r="D63" s="186"/>
      <c r="E63" s="157"/>
      <c r="F63" s="78">
        <f t="shared" si="13"/>
        <v>0</v>
      </c>
      <c r="G63" s="142">
        <f>254+690+39</f>
        <v>983</v>
      </c>
      <c r="H63" s="210"/>
      <c r="I63" s="124">
        <f t="shared" si="14"/>
        <v>983</v>
      </c>
      <c r="J63" s="142">
        <f>61+150-90</f>
        <v>121</v>
      </c>
      <c r="K63" s="231"/>
      <c r="L63" s="279">
        <f t="shared" si="15"/>
        <v>1104</v>
      </c>
      <c r="M63" s="225"/>
      <c r="N63" s="186"/>
      <c r="O63" s="293">
        <f t="shared" si="16"/>
        <v>1104</v>
      </c>
      <c r="P63" s="323"/>
      <c r="Q63" s="329">
        <f t="shared" si="0"/>
        <v>1104</v>
      </c>
      <c r="R63" s="345">
        <v>1104</v>
      </c>
      <c r="S63" s="338">
        <f t="shared" si="1"/>
        <v>100</v>
      </c>
    </row>
    <row r="64" spans="1:19" ht="12.75">
      <c r="A64" s="13" t="s">
        <v>38</v>
      </c>
      <c r="B64" s="55"/>
      <c r="C64" s="79"/>
      <c r="D64" s="186"/>
      <c r="E64" s="157"/>
      <c r="F64" s="78">
        <f t="shared" si="13"/>
        <v>0</v>
      </c>
      <c r="G64" s="142">
        <f>34+48.25</f>
        <v>82.25</v>
      </c>
      <c r="H64" s="210"/>
      <c r="I64" s="124">
        <f t="shared" si="14"/>
        <v>82.25</v>
      </c>
      <c r="J64" s="142">
        <f>2850.21</f>
        <v>2850.21</v>
      </c>
      <c r="K64" s="231"/>
      <c r="L64" s="279">
        <f t="shared" si="15"/>
        <v>2932.46</v>
      </c>
      <c r="M64" s="225"/>
      <c r="N64" s="186"/>
      <c r="O64" s="293">
        <f t="shared" si="16"/>
        <v>2932.46</v>
      </c>
      <c r="P64" s="323"/>
      <c r="Q64" s="329">
        <f t="shared" si="0"/>
        <v>2932.46</v>
      </c>
      <c r="R64" s="345">
        <v>2932.46</v>
      </c>
      <c r="S64" s="338">
        <f t="shared" si="1"/>
        <v>100</v>
      </c>
    </row>
    <row r="65" spans="1:19" ht="12.75">
      <c r="A65" s="13" t="s">
        <v>39</v>
      </c>
      <c r="B65" s="55"/>
      <c r="C65" s="79"/>
      <c r="D65" s="186"/>
      <c r="E65" s="157"/>
      <c r="F65" s="78">
        <f t="shared" si="13"/>
        <v>0</v>
      </c>
      <c r="G65" s="142">
        <f>386</f>
        <v>386</v>
      </c>
      <c r="H65" s="210"/>
      <c r="I65" s="124">
        <f t="shared" si="14"/>
        <v>386</v>
      </c>
      <c r="J65" s="142"/>
      <c r="K65" s="231"/>
      <c r="L65" s="279">
        <f t="shared" si="15"/>
        <v>386</v>
      </c>
      <c r="M65" s="225"/>
      <c r="N65" s="186"/>
      <c r="O65" s="293">
        <f>L65+M65+N65</f>
        <v>386</v>
      </c>
      <c r="P65" s="323"/>
      <c r="Q65" s="329">
        <f t="shared" si="0"/>
        <v>386</v>
      </c>
      <c r="R65" s="345">
        <v>386</v>
      </c>
      <c r="S65" s="338">
        <f t="shared" si="1"/>
        <v>100</v>
      </c>
    </row>
    <row r="66" spans="1:19" ht="12.75">
      <c r="A66" s="13" t="s">
        <v>51</v>
      </c>
      <c r="B66" s="55"/>
      <c r="C66" s="79"/>
      <c r="D66" s="186"/>
      <c r="E66" s="157"/>
      <c r="F66" s="78"/>
      <c r="G66" s="142"/>
      <c r="H66" s="210"/>
      <c r="I66" s="124">
        <f t="shared" si="14"/>
        <v>0</v>
      </c>
      <c r="J66" s="142">
        <f>179+721.5</f>
        <v>900.5</v>
      </c>
      <c r="K66" s="231"/>
      <c r="L66" s="279">
        <f t="shared" si="15"/>
        <v>900.5</v>
      </c>
      <c r="M66" s="225"/>
      <c r="N66" s="186"/>
      <c r="O66" s="293">
        <f>L66+M66+N66</f>
        <v>900.5</v>
      </c>
      <c r="P66" s="323"/>
      <c r="Q66" s="329">
        <f t="shared" si="0"/>
        <v>900.5</v>
      </c>
      <c r="R66" s="345">
        <v>900.5</v>
      </c>
      <c r="S66" s="338">
        <f t="shared" si="1"/>
        <v>100</v>
      </c>
    </row>
    <row r="67" spans="1:19" ht="12.75">
      <c r="A67" s="13" t="s">
        <v>167</v>
      </c>
      <c r="B67" s="55"/>
      <c r="C67" s="79"/>
      <c r="D67" s="186"/>
      <c r="E67" s="157"/>
      <c r="F67" s="78">
        <f t="shared" si="13"/>
        <v>0</v>
      </c>
      <c r="G67" s="142">
        <f>267710.72</f>
        <v>267710.72</v>
      </c>
      <c r="H67" s="210"/>
      <c r="I67" s="124">
        <f t="shared" si="14"/>
        <v>267710.72</v>
      </c>
      <c r="J67" s="142"/>
      <c r="K67" s="231"/>
      <c r="L67" s="279">
        <f t="shared" si="15"/>
        <v>267710.72</v>
      </c>
      <c r="M67" s="225"/>
      <c r="N67" s="186"/>
      <c r="O67" s="293">
        <f t="shared" si="16"/>
        <v>267710.72</v>
      </c>
      <c r="P67" s="323"/>
      <c r="Q67" s="329">
        <f t="shared" si="0"/>
        <v>267710.72</v>
      </c>
      <c r="R67" s="345">
        <v>267710.72</v>
      </c>
      <c r="S67" s="338">
        <f t="shared" si="1"/>
        <v>100</v>
      </c>
    </row>
    <row r="68" spans="1:19" ht="12.75">
      <c r="A68" s="13" t="s">
        <v>197</v>
      </c>
      <c r="B68" s="55"/>
      <c r="C68" s="79"/>
      <c r="D68" s="186">
        <f>1000</f>
        <v>1000</v>
      </c>
      <c r="E68" s="157"/>
      <c r="F68" s="78">
        <f t="shared" si="13"/>
        <v>1000</v>
      </c>
      <c r="G68" s="142">
        <f>1036.85+2000</f>
        <v>3036.85</v>
      </c>
      <c r="H68" s="210"/>
      <c r="I68" s="124">
        <f t="shared" si="14"/>
        <v>4036.85</v>
      </c>
      <c r="J68" s="142"/>
      <c r="K68" s="231"/>
      <c r="L68" s="279">
        <f t="shared" si="15"/>
        <v>4036.85</v>
      </c>
      <c r="M68" s="225"/>
      <c r="N68" s="186"/>
      <c r="O68" s="293">
        <f t="shared" si="16"/>
        <v>4036.85</v>
      </c>
      <c r="P68" s="323">
        <f>803.1</f>
        <v>803.1</v>
      </c>
      <c r="Q68" s="329">
        <f t="shared" si="0"/>
        <v>4839.95</v>
      </c>
      <c r="R68" s="363">
        <v>4839.95</v>
      </c>
      <c r="S68" s="338">
        <f t="shared" si="1"/>
        <v>100</v>
      </c>
    </row>
    <row r="69" spans="1:19" ht="12.75" hidden="1">
      <c r="A69" s="13" t="s">
        <v>40</v>
      </c>
      <c r="B69" s="55"/>
      <c r="C69" s="79"/>
      <c r="D69" s="186"/>
      <c r="E69" s="157"/>
      <c r="F69" s="78">
        <f t="shared" si="13"/>
        <v>0</v>
      </c>
      <c r="G69" s="142"/>
      <c r="H69" s="210"/>
      <c r="I69" s="124">
        <f t="shared" si="14"/>
        <v>0</v>
      </c>
      <c r="J69" s="142"/>
      <c r="K69" s="231"/>
      <c r="L69" s="279">
        <f t="shared" si="15"/>
        <v>0</v>
      </c>
      <c r="M69" s="225"/>
      <c r="N69" s="186"/>
      <c r="O69" s="293">
        <f t="shared" si="16"/>
        <v>0</v>
      </c>
      <c r="P69" s="324"/>
      <c r="Q69" s="329">
        <f t="shared" si="0"/>
        <v>0</v>
      </c>
      <c r="R69" s="345"/>
      <c r="S69" s="338" t="e">
        <f t="shared" si="1"/>
        <v>#DIV/0!</v>
      </c>
    </row>
    <row r="70" spans="1:19" ht="12.75">
      <c r="A70" s="13" t="s">
        <v>41</v>
      </c>
      <c r="B70" s="55"/>
      <c r="C70" s="79"/>
      <c r="D70" s="186"/>
      <c r="E70" s="157"/>
      <c r="F70" s="78">
        <f t="shared" si="13"/>
        <v>0</v>
      </c>
      <c r="G70" s="142">
        <f>70+242</f>
        <v>312</v>
      </c>
      <c r="H70" s="210"/>
      <c r="I70" s="124">
        <f t="shared" si="14"/>
        <v>312</v>
      </c>
      <c r="J70" s="262"/>
      <c r="K70" s="231"/>
      <c r="L70" s="279">
        <f t="shared" si="15"/>
        <v>312</v>
      </c>
      <c r="M70" s="225"/>
      <c r="N70" s="186"/>
      <c r="O70" s="293">
        <f t="shared" si="16"/>
        <v>312</v>
      </c>
      <c r="P70" s="323"/>
      <c r="Q70" s="329">
        <f t="shared" si="0"/>
        <v>312</v>
      </c>
      <c r="R70" s="345">
        <v>312</v>
      </c>
      <c r="S70" s="338">
        <f t="shared" si="1"/>
        <v>100</v>
      </c>
    </row>
    <row r="71" spans="1:19" ht="12.75" hidden="1">
      <c r="A71" s="13" t="s">
        <v>283</v>
      </c>
      <c r="B71" s="55"/>
      <c r="C71" s="79"/>
      <c r="D71" s="186"/>
      <c r="E71" s="157"/>
      <c r="F71" s="78">
        <f t="shared" si="13"/>
        <v>0</v>
      </c>
      <c r="G71" s="142"/>
      <c r="H71" s="210"/>
      <c r="I71" s="124">
        <f t="shared" si="14"/>
        <v>0</v>
      </c>
      <c r="J71" s="262"/>
      <c r="K71" s="231"/>
      <c r="L71" s="279">
        <f t="shared" si="15"/>
        <v>0</v>
      </c>
      <c r="M71" s="225"/>
      <c r="N71" s="186"/>
      <c r="O71" s="293"/>
      <c r="P71" s="323"/>
      <c r="Q71" s="329"/>
      <c r="R71" s="345"/>
      <c r="S71" s="338" t="e">
        <f t="shared" si="1"/>
        <v>#DIV/0!</v>
      </c>
    </row>
    <row r="72" spans="1:19" ht="12.75">
      <c r="A72" s="13" t="s">
        <v>198</v>
      </c>
      <c r="B72" s="55"/>
      <c r="C72" s="79"/>
      <c r="D72" s="186"/>
      <c r="E72" s="157"/>
      <c r="F72" s="78">
        <f t="shared" si="13"/>
        <v>0</v>
      </c>
      <c r="G72" s="142">
        <f>496.58+54.57</f>
        <v>551.15</v>
      </c>
      <c r="H72" s="210"/>
      <c r="I72" s="124">
        <f t="shared" si="14"/>
        <v>551.15</v>
      </c>
      <c r="J72" s="262">
        <f>55.18</f>
        <v>55.18</v>
      </c>
      <c r="K72" s="231"/>
      <c r="L72" s="279">
        <f t="shared" si="15"/>
        <v>606.3299999999999</v>
      </c>
      <c r="M72" s="225"/>
      <c r="N72" s="186"/>
      <c r="O72" s="293">
        <f t="shared" si="16"/>
        <v>606.3299999999999</v>
      </c>
      <c r="P72" s="323"/>
      <c r="Q72" s="329">
        <f t="shared" si="0"/>
        <v>606.3299999999999</v>
      </c>
      <c r="R72" s="345">
        <v>606.33</v>
      </c>
      <c r="S72" s="338">
        <f t="shared" si="1"/>
        <v>100.00000000000003</v>
      </c>
    </row>
    <row r="73" spans="1:19" ht="12.75" hidden="1">
      <c r="A73" s="13" t="s">
        <v>42</v>
      </c>
      <c r="B73" s="55"/>
      <c r="C73" s="79"/>
      <c r="D73" s="186"/>
      <c r="E73" s="157"/>
      <c r="F73" s="78">
        <f t="shared" si="13"/>
        <v>0</v>
      </c>
      <c r="G73" s="142"/>
      <c r="H73" s="210"/>
      <c r="I73" s="124">
        <f t="shared" si="14"/>
        <v>0</v>
      </c>
      <c r="J73" s="142"/>
      <c r="K73" s="231"/>
      <c r="L73" s="279">
        <f t="shared" si="15"/>
        <v>0</v>
      </c>
      <c r="M73" s="225"/>
      <c r="N73" s="186"/>
      <c r="O73" s="293">
        <f t="shared" si="16"/>
        <v>0</v>
      </c>
      <c r="P73" s="323"/>
      <c r="Q73" s="329">
        <f t="shared" si="0"/>
        <v>0</v>
      </c>
      <c r="R73" s="345"/>
      <c r="S73" s="338" t="e">
        <f t="shared" si="1"/>
        <v>#DIV/0!</v>
      </c>
    </row>
    <row r="74" spans="1:19" ht="12.75">
      <c r="A74" s="13" t="s">
        <v>53</v>
      </c>
      <c r="B74" s="55"/>
      <c r="C74" s="79"/>
      <c r="D74" s="186">
        <f>67.53</f>
        <v>67.53</v>
      </c>
      <c r="E74" s="157"/>
      <c r="F74" s="78">
        <f t="shared" si="13"/>
        <v>67.53</v>
      </c>
      <c r="G74" s="142">
        <f>185.6+636.98+3294.6</f>
        <v>4117.18</v>
      </c>
      <c r="H74" s="210"/>
      <c r="I74" s="124">
        <f t="shared" si="14"/>
        <v>4184.71</v>
      </c>
      <c r="J74" s="142"/>
      <c r="K74" s="231"/>
      <c r="L74" s="279">
        <f t="shared" si="15"/>
        <v>4184.71</v>
      </c>
      <c r="M74" s="225"/>
      <c r="N74" s="186"/>
      <c r="O74" s="293">
        <f t="shared" si="16"/>
        <v>4184.71</v>
      </c>
      <c r="P74" s="323"/>
      <c r="Q74" s="329">
        <f t="shared" si="0"/>
        <v>4184.71</v>
      </c>
      <c r="R74" s="345">
        <v>4184.71</v>
      </c>
      <c r="S74" s="338">
        <f t="shared" si="1"/>
        <v>100</v>
      </c>
    </row>
    <row r="75" spans="1:19" ht="12.75">
      <c r="A75" s="13" t="s">
        <v>43</v>
      </c>
      <c r="B75" s="55"/>
      <c r="C75" s="79"/>
      <c r="D75" s="186"/>
      <c r="E75" s="157"/>
      <c r="F75" s="78">
        <f t="shared" si="13"/>
        <v>0</v>
      </c>
      <c r="G75" s="142">
        <f>53649</f>
        <v>53649</v>
      </c>
      <c r="H75" s="210"/>
      <c r="I75" s="124">
        <f t="shared" si="14"/>
        <v>53649</v>
      </c>
      <c r="J75" s="142"/>
      <c r="K75" s="231"/>
      <c r="L75" s="279">
        <f t="shared" si="15"/>
        <v>53649</v>
      </c>
      <c r="M75" s="225"/>
      <c r="N75" s="186"/>
      <c r="O75" s="293">
        <f t="shared" si="16"/>
        <v>53649</v>
      </c>
      <c r="P75" s="323">
        <f>21351</f>
        <v>21351</v>
      </c>
      <c r="Q75" s="329">
        <f t="shared" si="0"/>
        <v>75000</v>
      </c>
      <c r="R75" s="345">
        <v>75000</v>
      </c>
      <c r="S75" s="338">
        <f t="shared" si="1"/>
        <v>100</v>
      </c>
    </row>
    <row r="76" spans="1:19" ht="12.75" hidden="1">
      <c r="A76" s="13" t="s">
        <v>44</v>
      </c>
      <c r="B76" s="55"/>
      <c r="C76" s="79"/>
      <c r="D76" s="186"/>
      <c r="E76" s="157"/>
      <c r="F76" s="78">
        <f t="shared" si="13"/>
        <v>0</v>
      </c>
      <c r="G76" s="142"/>
      <c r="H76" s="210"/>
      <c r="I76" s="124">
        <f t="shared" si="14"/>
        <v>0</v>
      </c>
      <c r="J76" s="142"/>
      <c r="K76" s="231"/>
      <c r="L76" s="279">
        <f t="shared" si="15"/>
        <v>0</v>
      </c>
      <c r="M76" s="225"/>
      <c r="N76" s="186"/>
      <c r="O76" s="293">
        <f t="shared" si="16"/>
        <v>0</v>
      </c>
      <c r="P76" s="323"/>
      <c r="Q76" s="329">
        <f t="shared" si="0"/>
        <v>0</v>
      </c>
      <c r="R76" s="345"/>
      <c r="S76" s="338" t="e">
        <f t="shared" si="1"/>
        <v>#DIV/0!</v>
      </c>
    </row>
    <row r="77" spans="1:19" ht="12.75">
      <c r="A77" s="13" t="s">
        <v>359</v>
      </c>
      <c r="B77" s="55"/>
      <c r="C77" s="79">
        <v>250</v>
      </c>
      <c r="D77" s="186"/>
      <c r="E77" s="157"/>
      <c r="F77" s="78">
        <f t="shared" si="13"/>
        <v>250</v>
      </c>
      <c r="G77" s="142">
        <f>2683.07+114.4</f>
        <v>2797.4700000000003</v>
      </c>
      <c r="H77" s="210"/>
      <c r="I77" s="124">
        <f t="shared" si="14"/>
        <v>3047.4700000000003</v>
      </c>
      <c r="J77" s="142">
        <f>-17.74</f>
        <v>-17.74</v>
      </c>
      <c r="K77" s="231"/>
      <c r="L77" s="279">
        <f t="shared" si="15"/>
        <v>3029.7300000000005</v>
      </c>
      <c r="M77" s="225"/>
      <c r="N77" s="186"/>
      <c r="O77" s="293">
        <f t="shared" si="16"/>
        <v>3029.7300000000005</v>
      </c>
      <c r="P77" s="323"/>
      <c r="Q77" s="329">
        <f t="shared" si="0"/>
        <v>3029.7300000000005</v>
      </c>
      <c r="R77" s="345">
        <v>3029.74</v>
      </c>
      <c r="S77" s="338">
        <f t="shared" si="1"/>
        <v>100.00033006241478</v>
      </c>
    </row>
    <row r="78" spans="1:19" ht="13.5" thickBot="1">
      <c r="A78" s="114" t="s">
        <v>207</v>
      </c>
      <c r="B78" s="370"/>
      <c r="C78" s="116"/>
      <c r="D78" s="194"/>
      <c r="E78" s="163"/>
      <c r="F78" s="117">
        <f t="shared" si="13"/>
        <v>0</v>
      </c>
      <c r="G78" s="139"/>
      <c r="H78" s="219"/>
      <c r="I78" s="140">
        <v>0</v>
      </c>
      <c r="J78" s="139">
        <f>27.02</f>
        <v>27.02</v>
      </c>
      <c r="K78" s="270"/>
      <c r="L78" s="316">
        <f t="shared" si="15"/>
        <v>27.02</v>
      </c>
      <c r="M78" s="300"/>
      <c r="N78" s="194"/>
      <c r="O78" s="301">
        <f t="shared" si="16"/>
        <v>27.02</v>
      </c>
      <c r="P78" s="327"/>
      <c r="Q78" s="332">
        <f t="shared" si="0"/>
        <v>27.02</v>
      </c>
      <c r="R78" s="355">
        <v>27.02</v>
      </c>
      <c r="S78" s="339">
        <f t="shared" si="1"/>
        <v>100</v>
      </c>
    </row>
    <row r="79" spans="1:19" ht="12.75" hidden="1">
      <c r="A79" s="14" t="s">
        <v>46</v>
      </c>
      <c r="B79" s="56"/>
      <c r="C79" s="80">
        <f>SUM(C81:C83)</f>
        <v>0</v>
      </c>
      <c r="D79" s="189">
        <f>SUM(D81:D83)</f>
        <v>0</v>
      </c>
      <c r="E79" s="158">
        <f>SUM(E81:E83)</f>
        <v>0</v>
      </c>
      <c r="F79" s="81">
        <f>SUM(F81:F83)</f>
        <v>0</v>
      </c>
      <c r="G79" s="144"/>
      <c r="H79" s="212"/>
      <c r="I79" s="125">
        <f>SUM(I81:I83)</f>
        <v>0</v>
      </c>
      <c r="J79" s="144"/>
      <c r="K79" s="232"/>
      <c r="L79" s="280">
        <f>SUM(L81:L83)</f>
        <v>0</v>
      </c>
      <c r="M79" s="272"/>
      <c r="N79" s="189"/>
      <c r="O79" s="294">
        <f>SUM(O81:O83)</f>
        <v>0</v>
      </c>
      <c r="P79" s="80"/>
      <c r="Q79" s="81">
        <f>SUM(Q81:Q83)</f>
        <v>0</v>
      </c>
      <c r="R79" s="345"/>
      <c r="S79" s="338" t="e">
        <f aca="true" t="shared" si="17" ref="S79:S142">R79/Q79*100</f>
        <v>#DIV/0!</v>
      </c>
    </row>
    <row r="80" spans="1:19" ht="12.75" hidden="1">
      <c r="A80" s="11" t="s">
        <v>31</v>
      </c>
      <c r="B80" s="53"/>
      <c r="C80" s="79"/>
      <c r="D80" s="186"/>
      <c r="E80" s="157"/>
      <c r="F80" s="78"/>
      <c r="G80" s="142"/>
      <c r="H80" s="210"/>
      <c r="I80" s="124"/>
      <c r="J80" s="142"/>
      <c r="K80" s="231"/>
      <c r="L80" s="279"/>
      <c r="M80" s="225"/>
      <c r="N80" s="186"/>
      <c r="O80" s="293">
        <f>L80+M80+N80</f>
        <v>0</v>
      </c>
      <c r="P80" s="323"/>
      <c r="Q80" s="329"/>
      <c r="R80" s="345"/>
      <c r="S80" s="338" t="e">
        <f t="shared" si="17"/>
        <v>#DIV/0!</v>
      </c>
    </row>
    <row r="81" spans="1:19" ht="12.75" hidden="1">
      <c r="A81" s="13" t="s">
        <v>47</v>
      </c>
      <c r="B81" s="55"/>
      <c r="C81" s="79"/>
      <c r="D81" s="186"/>
      <c r="E81" s="157"/>
      <c r="F81" s="78">
        <f>C81+D81+E81</f>
        <v>0</v>
      </c>
      <c r="G81" s="142"/>
      <c r="H81" s="210"/>
      <c r="I81" s="124">
        <f>F81+G81+H81</f>
        <v>0</v>
      </c>
      <c r="J81" s="142"/>
      <c r="K81" s="231"/>
      <c r="L81" s="279">
        <f>I81+J81+K81</f>
        <v>0</v>
      </c>
      <c r="M81" s="225"/>
      <c r="N81" s="186"/>
      <c r="O81" s="293">
        <f>L81+M81+N81</f>
        <v>0</v>
      </c>
      <c r="P81" s="323"/>
      <c r="Q81" s="329">
        <f t="shared" si="0"/>
        <v>0</v>
      </c>
      <c r="R81" s="345"/>
      <c r="S81" s="338" t="e">
        <f t="shared" si="17"/>
        <v>#DIV/0!</v>
      </c>
    </row>
    <row r="82" spans="1:19" ht="12.75" hidden="1">
      <c r="A82" s="13" t="s">
        <v>48</v>
      </c>
      <c r="B82" s="55"/>
      <c r="C82" s="79"/>
      <c r="D82" s="186"/>
      <c r="E82" s="157"/>
      <c r="F82" s="78">
        <f>C82+D82+E82</f>
        <v>0</v>
      </c>
      <c r="G82" s="142"/>
      <c r="H82" s="210"/>
      <c r="I82" s="124">
        <f>F82+G82+H82</f>
        <v>0</v>
      </c>
      <c r="J82" s="142"/>
      <c r="K82" s="231"/>
      <c r="L82" s="279">
        <f>I82+J82+K82</f>
        <v>0</v>
      </c>
      <c r="M82" s="225"/>
      <c r="N82" s="186"/>
      <c r="O82" s="293">
        <f>L82+M82+N82</f>
        <v>0</v>
      </c>
      <c r="P82" s="323"/>
      <c r="Q82" s="329">
        <f t="shared" si="0"/>
        <v>0</v>
      </c>
      <c r="R82" s="345"/>
      <c r="S82" s="338" t="e">
        <f t="shared" si="17"/>
        <v>#DIV/0!</v>
      </c>
    </row>
    <row r="83" spans="1:19" ht="12.75" hidden="1">
      <c r="A83" s="13" t="s">
        <v>49</v>
      </c>
      <c r="B83" s="55"/>
      <c r="C83" s="79"/>
      <c r="D83" s="186"/>
      <c r="E83" s="157"/>
      <c r="F83" s="78">
        <f>C83+D83+E83</f>
        <v>0</v>
      </c>
      <c r="G83" s="142"/>
      <c r="H83" s="210"/>
      <c r="I83" s="124">
        <f>F83+G83+H83</f>
        <v>0</v>
      </c>
      <c r="J83" s="142"/>
      <c r="K83" s="231"/>
      <c r="L83" s="279">
        <f>I83+J83+K83</f>
        <v>0</v>
      </c>
      <c r="M83" s="225"/>
      <c r="N83" s="186"/>
      <c r="O83" s="293">
        <f>L83+M83+N83</f>
        <v>0</v>
      </c>
      <c r="P83" s="323"/>
      <c r="Q83" s="329">
        <f t="shared" si="0"/>
        <v>0</v>
      </c>
      <c r="R83" s="345"/>
      <c r="S83" s="338" t="e">
        <f t="shared" si="17"/>
        <v>#DIV/0!</v>
      </c>
    </row>
    <row r="84" spans="1:19" ht="12.75">
      <c r="A84" s="10" t="s">
        <v>50</v>
      </c>
      <c r="B84" s="52"/>
      <c r="C84" s="75">
        <f aca="true" t="shared" si="18" ref="C84:R84">SUM(C86:C101)</f>
        <v>0</v>
      </c>
      <c r="D84" s="185">
        <f t="shared" si="18"/>
        <v>58567.06</v>
      </c>
      <c r="E84" s="156">
        <f t="shared" si="18"/>
        <v>0</v>
      </c>
      <c r="F84" s="77">
        <f t="shared" si="18"/>
        <v>58567.06</v>
      </c>
      <c r="G84" s="75">
        <f t="shared" si="18"/>
        <v>489865.44000000006</v>
      </c>
      <c r="H84" s="185">
        <f t="shared" si="18"/>
        <v>0</v>
      </c>
      <c r="I84" s="77">
        <f t="shared" si="18"/>
        <v>548432.5</v>
      </c>
      <c r="J84" s="141">
        <f t="shared" si="18"/>
        <v>25648.01</v>
      </c>
      <c r="K84" s="230">
        <f t="shared" si="18"/>
        <v>0</v>
      </c>
      <c r="L84" s="217">
        <f t="shared" si="18"/>
        <v>574080.5099999999</v>
      </c>
      <c r="M84" s="230">
        <f t="shared" si="18"/>
        <v>89207.06</v>
      </c>
      <c r="N84" s="209">
        <f t="shared" si="18"/>
        <v>0</v>
      </c>
      <c r="O84" s="228">
        <f t="shared" si="18"/>
        <v>663287.57</v>
      </c>
      <c r="P84" s="75">
        <f t="shared" si="18"/>
        <v>45062.28999999999</v>
      </c>
      <c r="Q84" s="77">
        <f t="shared" si="18"/>
        <v>708349.86</v>
      </c>
      <c r="R84" s="346">
        <f t="shared" si="18"/>
        <v>708349.85</v>
      </c>
      <c r="S84" s="337">
        <f t="shared" si="17"/>
        <v>99.99999858826824</v>
      </c>
    </row>
    <row r="85" spans="1:19" ht="12.75">
      <c r="A85" s="15" t="s">
        <v>31</v>
      </c>
      <c r="B85" s="57"/>
      <c r="C85" s="79"/>
      <c r="D85" s="186"/>
      <c r="E85" s="157"/>
      <c r="F85" s="78"/>
      <c r="G85" s="142"/>
      <c r="H85" s="210"/>
      <c r="I85" s="124"/>
      <c r="J85" s="142"/>
      <c r="K85" s="231"/>
      <c r="L85" s="279"/>
      <c r="M85" s="225"/>
      <c r="N85" s="186"/>
      <c r="O85" s="293"/>
      <c r="P85" s="323"/>
      <c r="Q85" s="329"/>
      <c r="R85" s="345"/>
      <c r="S85" s="338"/>
    </row>
    <row r="86" spans="1:19" ht="12.75">
      <c r="A86" s="13" t="s">
        <v>34</v>
      </c>
      <c r="B86" s="55"/>
      <c r="C86" s="79"/>
      <c r="D86" s="186"/>
      <c r="E86" s="157"/>
      <c r="F86" s="78">
        <f aca="true" t="shared" si="19" ref="F86:F101">C86+D86+E86</f>
        <v>0</v>
      </c>
      <c r="G86" s="142">
        <f>6330.36</f>
        <v>6330.36</v>
      </c>
      <c r="H86" s="210"/>
      <c r="I86" s="124">
        <f>F86+G86+H86</f>
        <v>6330.36</v>
      </c>
      <c r="J86" s="142"/>
      <c r="K86" s="231"/>
      <c r="L86" s="279">
        <f>I86+J86+K86</f>
        <v>6330.36</v>
      </c>
      <c r="M86" s="225"/>
      <c r="N86" s="186"/>
      <c r="O86" s="293">
        <f>L86+M86+N86</f>
        <v>6330.36</v>
      </c>
      <c r="P86" s="323"/>
      <c r="Q86" s="329">
        <f t="shared" si="0"/>
        <v>6330.36</v>
      </c>
      <c r="R86" s="345">
        <v>6330.36</v>
      </c>
      <c r="S86" s="338">
        <f t="shared" si="17"/>
        <v>100</v>
      </c>
    </row>
    <row r="87" spans="1:19" ht="12.75">
      <c r="A87" s="17" t="s">
        <v>35</v>
      </c>
      <c r="B87" s="58"/>
      <c r="C87" s="79"/>
      <c r="D87" s="186"/>
      <c r="E87" s="157"/>
      <c r="F87" s="78">
        <f t="shared" si="19"/>
        <v>0</v>
      </c>
      <c r="G87" s="142">
        <f>838.81+33.64</f>
        <v>872.4499999999999</v>
      </c>
      <c r="H87" s="210"/>
      <c r="I87" s="124">
        <f aca="true" t="shared" si="20" ref="I87:I101">F87+G87+H87</f>
        <v>872.4499999999999</v>
      </c>
      <c r="J87" s="142"/>
      <c r="K87" s="231"/>
      <c r="L87" s="279">
        <f aca="true" t="shared" si="21" ref="L87:L101">I87+J87+K87</f>
        <v>872.4499999999999</v>
      </c>
      <c r="M87" s="225"/>
      <c r="N87" s="186"/>
      <c r="O87" s="293">
        <f>L87+M87+N87</f>
        <v>872.4499999999999</v>
      </c>
      <c r="P87" s="323"/>
      <c r="Q87" s="329">
        <f t="shared" si="0"/>
        <v>872.4499999999999</v>
      </c>
      <c r="R87" s="345">
        <v>872.45</v>
      </c>
      <c r="S87" s="338">
        <f t="shared" si="17"/>
        <v>100.00000000000003</v>
      </c>
    </row>
    <row r="88" spans="1:19" ht="12.75" hidden="1">
      <c r="A88" s="17" t="s">
        <v>33</v>
      </c>
      <c r="B88" s="58"/>
      <c r="C88" s="79"/>
      <c r="D88" s="186"/>
      <c r="E88" s="157"/>
      <c r="F88" s="78">
        <f t="shared" si="19"/>
        <v>0</v>
      </c>
      <c r="G88" s="142"/>
      <c r="H88" s="210"/>
      <c r="I88" s="124">
        <f t="shared" si="20"/>
        <v>0</v>
      </c>
      <c r="J88" s="142"/>
      <c r="K88" s="231"/>
      <c r="L88" s="279">
        <f t="shared" si="21"/>
        <v>0</v>
      </c>
      <c r="M88" s="225"/>
      <c r="N88" s="186"/>
      <c r="O88" s="293">
        <f>L88+M88+N88</f>
        <v>0</v>
      </c>
      <c r="P88" s="323"/>
      <c r="Q88" s="329">
        <f t="shared" si="0"/>
        <v>0</v>
      </c>
      <c r="R88" s="345"/>
      <c r="S88" s="338" t="e">
        <f t="shared" si="17"/>
        <v>#DIV/0!</v>
      </c>
    </row>
    <row r="89" spans="1:19" ht="12.75">
      <c r="A89" s="17" t="s">
        <v>51</v>
      </c>
      <c r="B89" s="58"/>
      <c r="C89" s="79"/>
      <c r="D89" s="186"/>
      <c r="E89" s="157"/>
      <c r="F89" s="78">
        <f t="shared" si="19"/>
        <v>0</v>
      </c>
      <c r="G89" s="142">
        <f>13813.77+3608.96</f>
        <v>17422.73</v>
      </c>
      <c r="H89" s="210"/>
      <c r="I89" s="124">
        <f t="shared" si="20"/>
        <v>17422.73</v>
      </c>
      <c r="J89" s="142">
        <f>3177.81+1454.52+3577.1+3993.64</f>
        <v>12203.07</v>
      </c>
      <c r="K89" s="231"/>
      <c r="L89" s="279">
        <f t="shared" si="21"/>
        <v>29625.8</v>
      </c>
      <c r="M89" s="225">
        <f>63301.41+13474.85</f>
        <v>76776.26000000001</v>
      </c>
      <c r="N89" s="186"/>
      <c r="O89" s="293">
        <f>L89+M89+N89</f>
        <v>106402.06000000001</v>
      </c>
      <c r="P89" s="323">
        <f>-1878.69</f>
        <v>-1878.69</v>
      </c>
      <c r="Q89" s="329">
        <f t="shared" si="0"/>
        <v>104523.37000000001</v>
      </c>
      <c r="R89" s="345">
        <v>104523.37</v>
      </c>
      <c r="S89" s="338">
        <f t="shared" si="17"/>
        <v>99.99999999999999</v>
      </c>
    </row>
    <row r="90" spans="1:19" ht="12.75">
      <c r="A90" s="13" t="s">
        <v>36</v>
      </c>
      <c r="B90" s="55"/>
      <c r="C90" s="79"/>
      <c r="D90" s="186">
        <f>559.06</f>
        <v>559.06</v>
      </c>
      <c r="E90" s="157"/>
      <c r="F90" s="78">
        <f t="shared" si="19"/>
        <v>559.06</v>
      </c>
      <c r="G90" s="142">
        <f>18197.54+61386.85+23164.71+2001.1</f>
        <v>104750.20000000001</v>
      </c>
      <c r="H90" s="210"/>
      <c r="I90" s="124">
        <f t="shared" si="20"/>
        <v>105309.26000000001</v>
      </c>
      <c r="J90" s="142">
        <f>130.74</f>
        <v>130.74</v>
      </c>
      <c r="K90" s="231"/>
      <c r="L90" s="279">
        <f t="shared" si="21"/>
        <v>105440.00000000001</v>
      </c>
      <c r="M90" s="225">
        <f>26412.22</f>
        <v>26412.22</v>
      </c>
      <c r="N90" s="186"/>
      <c r="O90" s="293">
        <f>L90+M90+N90</f>
        <v>131852.22000000003</v>
      </c>
      <c r="P90" s="323">
        <f>7898.89</f>
        <v>7898.89</v>
      </c>
      <c r="Q90" s="329">
        <f aca="true" t="shared" si="22" ref="Q90:Q161">O90+P90</f>
        <v>139751.11000000004</v>
      </c>
      <c r="R90" s="345">
        <v>139751.1</v>
      </c>
      <c r="S90" s="338">
        <f t="shared" si="17"/>
        <v>99.99999284442175</v>
      </c>
    </row>
    <row r="91" spans="1:19" ht="12.75">
      <c r="A91" s="13" t="s">
        <v>38</v>
      </c>
      <c r="B91" s="55"/>
      <c r="C91" s="79"/>
      <c r="D91" s="186"/>
      <c r="E91" s="157"/>
      <c r="F91" s="78"/>
      <c r="G91" s="142"/>
      <c r="H91" s="210"/>
      <c r="I91" s="124">
        <f t="shared" si="20"/>
        <v>0</v>
      </c>
      <c r="J91" s="142">
        <f>137.65+559.12+918.56+2145.08+640+687.9</f>
        <v>5088.3099999999995</v>
      </c>
      <c r="K91" s="231"/>
      <c r="L91" s="279">
        <f t="shared" si="21"/>
        <v>5088.3099999999995</v>
      </c>
      <c r="M91" s="225">
        <f>268.7+926.7</f>
        <v>1195.4</v>
      </c>
      <c r="N91" s="186"/>
      <c r="O91" s="293">
        <f aca="true" t="shared" si="23" ref="O91:O100">L91+M91+N91</f>
        <v>6283.709999999999</v>
      </c>
      <c r="P91" s="323">
        <f>478.72+988.81+179.2+200+45.08</f>
        <v>1891.81</v>
      </c>
      <c r="Q91" s="329">
        <f t="shared" si="22"/>
        <v>8175.519999999999</v>
      </c>
      <c r="R91" s="345">
        <v>8175.52</v>
      </c>
      <c r="S91" s="338">
        <f t="shared" si="17"/>
        <v>100.00000000000003</v>
      </c>
    </row>
    <row r="92" spans="1:19" ht="12.75">
      <c r="A92" s="13" t="s">
        <v>326</v>
      </c>
      <c r="B92" s="55"/>
      <c r="C92" s="79"/>
      <c r="D92" s="186">
        <v>2000</v>
      </c>
      <c r="E92" s="157"/>
      <c r="F92" s="78">
        <f t="shared" si="19"/>
        <v>2000</v>
      </c>
      <c r="G92" s="142"/>
      <c r="H92" s="210"/>
      <c r="I92" s="124">
        <f t="shared" si="20"/>
        <v>2000</v>
      </c>
      <c r="J92" s="142">
        <f>-3.95</f>
        <v>-3.95</v>
      </c>
      <c r="K92" s="231"/>
      <c r="L92" s="279">
        <f t="shared" si="21"/>
        <v>1996.05</v>
      </c>
      <c r="M92" s="225"/>
      <c r="N92" s="186"/>
      <c r="O92" s="293">
        <f t="shared" si="23"/>
        <v>1996.05</v>
      </c>
      <c r="P92" s="323"/>
      <c r="Q92" s="329">
        <f t="shared" si="22"/>
        <v>1996.05</v>
      </c>
      <c r="R92" s="345">
        <v>1996.05</v>
      </c>
      <c r="S92" s="338">
        <f t="shared" si="17"/>
        <v>100</v>
      </c>
    </row>
    <row r="93" spans="1:19" ht="12.75">
      <c r="A93" s="13" t="s">
        <v>197</v>
      </c>
      <c r="B93" s="55"/>
      <c r="C93" s="79"/>
      <c r="D93" s="186">
        <f>12000</f>
        <v>12000</v>
      </c>
      <c r="E93" s="157"/>
      <c r="F93" s="78">
        <f t="shared" si="19"/>
        <v>12000</v>
      </c>
      <c r="G93" s="142">
        <f>2059.94+331.16+1603.13+84601.94+977.37</f>
        <v>89573.54</v>
      </c>
      <c r="H93" s="210"/>
      <c r="I93" s="124">
        <f t="shared" si="20"/>
        <v>101573.54</v>
      </c>
      <c r="J93" s="142">
        <f>263.86</f>
        <v>263.86</v>
      </c>
      <c r="K93" s="231"/>
      <c r="L93" s="279">
        <f t="shared" si="21"/>
        <v>101837.4</v>
      </c>
      <c r="M93" s="225"/>
      <c r="N93" s="186"/>
      <c r="O93" s="293">
        <f t="shared" si="23"/>
        <v>101837.4</v>
      </c>
      <c r="P93" s="323">
        <f>19857.37</f>
        <v>19857.37</v>
      </c>
      <c r="Q93" s="329">
        <f t="shared" si="22"/>
        <v>121694.76999999999</v>
      </c>
      <c r="R93" s="363">
        <v>121694.77</v>
      </c>
      <c r="S93" s="338">
        <f t="shared" si="17"/>
        <v>100.00000000000003</v>
      </c>
    </row>
    <row r="94" spans="1:19" ht="12.75">
      <c r="A94" s="13" t="s">
        <v>198</v>
      </c>
      <c r="B94" s="55"/>
      <c r="C94" s="79"/>
      <c r="D94" s="186"/>
      <c r="E94" s="157"/>
      <c r="F94" s="78">
        <f t="shared" si="19"/>
        <v>0</v>
      </c>
      <c r="G94" s="142">
        <f>94.3+57.49</f>
        <v>151.79</v>
      </c>
      <c r="H94" s="210"/>
      <c r="I94" s="124">
        <f t="shared" si="20"/>
        <v>151.79</v>
      </c>
      <c r="J94" s="142">
        <f>15.52</f>
        <v>15.52</v>
      </c>
      <c r="K94" s="231"/>
      <c r="L94" s="279">
        <f t="shared" si="21"/>
        <v>167.31</v>
      </c>
      <c r="M94" s="225"/>
      <c r="N94" s="186"/>
      <c r="O94" s="293">
        <f t="shared" si="23"/>
        <v>167.31</v>
      </c>
      <c r="P94" s="323"/>
      <c r="Q94" s="329">
        <f t="shared" si="22"/>
        <v>167.31</v>
      </c>
      <c r="R94" s="345">
        <v>167.31</v>
      </c>
      <c r="S94" s="338">
        <f t="shared" si="17"/>
        <v>100</v>
      </c>
    </row>
    <row r="95" spans="1:19" ht="12.75">
      <c r="A95" s="13" t="s">
        <v>52</v>
      </c>
      <c r="B95" s="55"/>
      <c r="C95" s="79"/>
      <c r="D95" s="186"/>
      <c r="E95" s="157"/>
      <c r="F95" s="78">
        <f t="shared" si="19"/>
        <v>0</v>
      </c>
      <c r="G95" s="142">
        <f>150000</f>
        <v>150000</v>
      </c>
      <c r="H95" s="210"/>
      <c r="I95" s="124">
        <f t="shared" si="20"/>
        <v>150000</v>
      </c>
      <c r="J95" s="142"/>
      <c r="K95" s="231"/>
      <c r="L95" s="279">
        <f t="shared" si="21"/>
        <v>150000</v>
      </c>
      <c r="M95" s="225">
        <f>-21351</f>
        <v>-21351</v>
      </c>
      <c r="N95" s="186"/>
      <c r="O95" s="293">
        <f t="shared" si="23"/>
        <v>128649</v>
      </c>
      <c r="P95" s="323">
        <f>1852</f>
        <v>1852</v>
      </c>
      <c r="Q95" s="329">
        <f t="shared" si="22"/>
        <v>130501</v>
      </c>
      <c r="R95" s="345">
        <v>130501</v>
      </c>
      <c r="S95" s="338">
        <f t="shared" si="17"/>
        <v>100</v>
      </c>
    </row>
    <row r="96" spans="1:19" ht="12.75">
      <c r="A96" s="13" t="s">
        <v>53</v>
      </c>
      <c r="B96" s="55"/>
      <c r="C96" s="79"/>
      <c r="D96" s="186">
        <f>44008</f>
        <v>44008</v>
      </c>
      <c r="E96" s="157"/>
      <c r="F96" s="78">
        <f t="shared" si="19"/>
        <v>44008</v>
      </c>
      <c r="G96" s="142">
        <f>23094.66+30706.99+23348.15</f>
        <v>77149.8</v>
      </c>
      <c r="H96" s="210"/>
      <c r="I96" s="124">
        <f t="shared" si="20"/>
        <v>121157.8</v>
      </c>
      <c r="J96" s="142"/>
      <c r="K96" s="231"/>
      <c r="L96" s="279">
        <f t="shared" si="21"/>
        <v>121157.8</v>
      </c>
      <c r="M96" s="225"/>
      <c r="N96" s="186"/>
      <c r="O96" s="293">
        <f t="shared" si="23"/>
        <v>121157.8</v>
      </c>
      <c r="P96" s="323"/>
      <c r="Q96" s="329">
        <f t="shared" si="22"/>
        <v>121157.8</v>
      </c>
      <c r="R96" s="345">
        <v>121157.8</v>
      </c>
      <c r="S96" s="338">
        <f t="shared" si="17"/>
        <v>100</v>
      </c>
    </row>
    <row r="97" spans="1:19" ht="12.75">
      <c r="A97" s="13" t="s">
        <v>54</v>
      </c>
      <c r="B97" s="55"/>
      <c r="C97" s="79"/>
      <c r="D97" s="186"/>
      <c r="E97" s="157"/>
      <c r="F97" s="78">
        <f t="shared" si="19"/>
        <v>0</v>
      </c>
      <c r="G97" s="142"/>
      <c r="H97" s="210"/>
      <c r="I97" s="124">
        <f t="shared" si="20"/>
        <v>0</v>
      </c>
      <c r="J97" s="142"/>
      <c r="K97" s="231"/>
      <c r="L97" s="279">
        <f t="shared" si="21"/>
        <v>0</v>
      </c>
      <c r="M97" s="225">
        <f>4045.81+2149.72</f>
        <v>6195.53</v>
      </c>
      <c r="N97" s="186"/>
      <c r="O97" s="293">
        <f t="shared" si="23"/>
        <v>6195.53</v>
      </c>
      <c r="P97" s="323">
        <f>1652.61+2417.66</f>
        <v>4070.2699999999995</v>
      </c>
      <c r="Q97" s="329">
        <f t="shared" si="22"/>
        <v>10265.8</v>
      </c>
      <c r="R97" s="345">
        <v>10265.8</v>
      </c>
      <c r="S97" s="338">
        <f t="shared" si="17"/>
        <v>100</v>
      </c>
    </row>
    <row r="98" spans="1:19" ht="12.75" hidden="1">
      <c r="A98" s="13" t="s">
        <v>40</v>
      </c>
      <c r="B98" s="55"/>
      <c r="C98" s="79"/>
      <c r="D98" s="186"/>
      <c r="E98" s="157"/>
      <c r="F98" s="78">
        <f t="shared" si="19"/>
        <v>0</v>
      </c>
      <c r="G98" s="142"/>
      <c r="H98" s="210"/>
      <c r="I98" s="124">
        <f t="shared" si="20"/>
        <v>0</v>
      </c>
      <c r="J98" s="142"/>
      <c r="K98" s="231"/>
      <c r="L98" s="279">
        <f t="shared" si="21"/>
        <v>0</v>
      </c>
      <c r="M98" s="225"/>
      <c r="N98" s="186"/>
      <c r="O98" s="293">
        <f t="shared" si="23"/>
        <v>0</v>
      </c>
      <c r="P98" s="324"/>
      <c r="Q98" s="329">
        <f t="shared" si="22"/>
        <v>0</v>
      </c>
      <c r="R98" s="345"/>
      <c r="S98" s="338" t="e">
        <f t="shared" si="17"/>
        <v>#DIV/0!</v>
      </c>
    </row>
    <row r="99" spans="1:19" ht="12.75">
      <c r="A99" s="13" t="s">
        <v>44</v>
      </c>
      <c r="B99" s="55"/>
      <c r="C99" s="79"/>
      <c r="D99" s="186"/>
      <c r="E99" s="157"/>
      <c r="F99" s="78">
        <f t="shared" si="19"/>
        <v>0</v>
      </c>
      <c r="G99" s="142">
        <f>9502.19+34012.38</f>
        <v>43514.57</v>
      </c>
      <c r="H99" s="210"/>
      <c r="I99" s="124">
        <f t="shared" si="20"/>
        <v>43514.57</v>
      </c>
      <c r="J99" s="142"/>
      <c r="K99" s="231"/>
      <c r="L99" s="279">
        <f t="shared" si="21"/>
        <v>43514.57</v>
      </c>
      <c r="M99" s="225"/>
      <c r="N99" s="186"/>
      <c r="O99" s="293">
        <f t="shared" si="23"/>
        <v>43514.57</v>
      </c>
      <c r="P99" s="325"/>
      <c r="Q99" s="329">
        <f t="shared" si="22"/>
        <v>43514.57</v>
      </c>
      <c r="R99" s="345">
        <v>43514.57</v>
      </c>
      <c r="S99" s="338">
        <f t="shared" si="17"/>
        <v>100</v>
      </c>
    </row>
    <row r="100" spans="1:19" ht="12.75">
      <c r="A100" s="13" t="s">
        <v>45</v>
      </c>
      <c r="B100" s="55"/>
      <c r="C100" s="79"/>
      <c r="D100" s="186"/>
      <c r="E100" s="157"/>
      <c r="F100" s="78">
        <f t="shared" si="19"/>
        <v>0</v>
      </c>
      <c r="G100" s="142">
        <v>100</v>
      </c>
      <c r="H100" s="210"/>
      <c r="I100" s="124">
        <f t="shared" si="20"/>
        <v>100</v>
      </c>
      <c r="J100" s="142"/>
      <c r="K100" s="231"/>
      <c r="L100" s="279">
        <f t="shared" si="21"/>
        <v>100</v>
      </c>
      <c r="M100" s="225">
        <f>-21.35</f>
        <v>-21.35</v>
      </c>
      <c r="N100" s="186"/>
      <c r="O100" s="293">
        <f t="shared" si="23"/>
        <v>78.65</v>
      </c>
      <c r="P100" s="325"/>
      <c r="Q100" s="329">
        <f t="shared" si="22"/>
        <v>78.65</v>
      </c>
      <c r="R100" s="345">
        <v>78.65</v>
      </c>
      <c r="S100" s="338">
        <f t="shared" si="17"/>
        <v>100</v>
      </c>
    </row>
    <row r="101" spans="1:19" ht="12.75">
      <c r="A101" s="13" t="s">
        <v>207</v>
      </c>
      <c r="B101" s="55"/>
      <c r="C101" s="79"/>
      <c r="D101" s="186"/>
      <c r="E101" s="157"/>
      <c r="F101" s="78">
        <f t="shared" si="19"/>
        <v>0</v>
      </c>
      <c r="G101" s="142"/>
      <c r="H101" s="210"/>
      <c r="I101" s="124">
        <f t="shared" si="20"/>
        <v>0</v>
      </c>
      <c r="J101" s="142">
        <f>7950.46</f>
        <v>7950.46</v>
      </c>
      <c r="K101" s="231"/>
      <c r="L101" s="279">
        <f t="shared" si="21"/>
        <v>7950.46</v>
      </c>
      <c r="M101" s="225"/>
      <c r="N101" s="186"/>
      <c r="O101" s="293">
        <f>L101+M101+N101</f>
        <v>7950.46</v>
      </c>
      <c r="P101" s="323">
        <f>11370.64</f>
        <v>11370.64</v>
      </c>
      <c r="Q101" s="329">
        <f t="shared" si="22"/>
        <v>19321.1</v>
      </c>
      <c r="R101" s="345">
        <v>19321.1</v>
      </c>
      <c r="S101" s="338">
        <f t="shared" si="17"/>
        <v>100</v>
      </c>
    </row>
    <row r="102" spans="1:19" ht="15" customHeight="1" hidden="1">
      <c r="A102" s="14" t="s">
        <v>55</v>
      </c>
      <c r="B102" s="56"/>
      <c r="C102" s="80">
        <f>SUM(C104:C106)</f>
        <v>0</v>
      </c>
      <c r="D102" s="189">
        <f>SUM(D104:D106)</f>
        <v>0</v>
      </c>
      <c r="E102" s="111">
        <f>SUM(E104:E106)</f>
        <v>0</v>
      </c>
      <c r="F102" s="81">
        <f>SUM(F104:F106)</f>
        <v>0</v>
      </c>
      <c r="G102" s="144"/>
      <c r="H102" s="212"/>
      <c r="I102" s="125">
        <f>SUM(I104:I106)</f>
        <v>0</v>
      </c>
      <c r="J102" s="144"/>
      <c r="K102" s="232"/>
      <c r="L102" s="280">
        <f>SUM(L104:L106)</f>
        <v>0</v>
      </c>
      <c r="M102" s="272"/>
      <c r="N102" s="189"/>
      <c r="O102" s="294">
        <f>SUM(O104:O106)</f>
        <v>0</v>
      </c>
      <c r="P102" s="80"/>
      <c r="Q102" s="81">
        <f>SUM(Q104:Q106)</f>
        <v>0</v>
      </c>
      <c r="R102" s="345"/>
      <c r="S102" s="338" t="e">
        <f t="shared" si="17"/>
        <v>#DIV/0!</v>
      </c>
    </row>
    <row r="103" spans="1:19" ht="12.75" hidden="1">
      <c r="A103" s="11" t="s">
        <v>31</v>
      </c>
      <c r="B103" s="53"/>
      <c r="C103" s="79"/>
      <c r="D103" s="186"/>
      <c r="E103" s="157"/>
      <c r="F103" s="78"/>
      <c r="G103" s="142"/>
      <c r="H103" s="210"/>
      <c r="I103" s="124"/>
      <c r="J103" s="142"/>
      <c r="K103" s="231"/>
      <c r="L103" s="279"/>
      <c r="M103" s="225"/>
      <c r="N103" s="186"/>
      <c r="O103" s="293"/>
      <c r="P103" s="323"/>
      <c r="Q103" s="329"/>
      <c r="R103" s="345"/>
      <c r="S103" s="338" t="e">
        <f t="shared" si="17"/>
        <v>#DIV/0!</v>
      </c>
    </row>
    <row r="104" spans="1:19" ht="12.75" hidden="1">
      <c r="A104" s="13" t="s">
        <v>56</v>
      </c>
      <c r="B104" s="55"/>
      <c r="C104" s="79"/>
      <c r="D104" s="186"/>
      <c r="E104" s="157"/>
      <c r="F104" s="78">
        <f>C104+D104+E104</f>
        <v>0</v>
      </c>
      <c r="G104" s="142"/>
      <c r="H104" s="210"/>
      <c r="I104" s="124">
        <f>F104+G104+H104</f>
        <v>0</v>
      </c>
      <c r="J104" s="142"/>
      <c r="K104" s="231"/>
      <c r="L104" s="279">
        <f>I104+J104+K104</f>
        <v>0</v>
      </c>
      <c r="M104" s="225"/>
      <c r="N104" s="186"/>
      <c r="O104" s="293">
        <f>L104+M104+N104</f>
        <v>0</v>
      </c>
      <c r="P104" s="323"/>
      <c r="Q104" s="329">
        <f t="shared" si="22"/>
        <v>0</v>
      </c>
      <c r="R104" s="345"/>
      <c r="S104" s="338" t="e">
        <f t="shared" si="17"/>
        <v>#DIV/0!</v>
      </c>
    </row>
    <row r="105" spans="1:19" ht="12.75" hidden="1">
      <c r="A105" s="13" t="s">
        <v>28</v>
      </c>
      <c r="B105" s="55"/>
      <c r="C105" s="79"/>
      <c r="D105" s="186"/>
      <c r="E105" s="157"/>
      <c r="F105" s="78">
        <f>C105+D105+E105</f>
        <v>0</v>
      </c>
      <c r="G105" s="142"/>
      <c r="H105" s="210"/>
      <c r="I105" s="124">
        <f>F105+G105+H105</f>
        <v>0</v>
      </c>
      <c r="J105" s="142"/>
      <c r="K105" s="231"/>
      <c r="L105" s="279">
        <f>I105+J105+K105</f>
        <v>0</v>
      </c>
      <c r="M105" s="225"/>
      <c r="N105" s="186"/>
      <c r="O105" s="293">
        <f>L105+M105+N105</f>
        <v>0</v>
      </c>
      <c r="P105" s="323"/>
      <c r="Q105" s="329">
        <f t="shared" si="22"/>
        <v>0</v>
      </c>
      <c r="R105" s="345"/>
      <c r="S105" s="338" t="e">
        <f t="shared" si="17"/>
        <v>#DIV/0!</v>
      </c>
    </row>
    <row r="106" spans="1:19" ht="12.75" hidden="1">
      <c r="A106" s="13" t="s">
        <v>48</v>
      </c>
      <c r="B106" s="55"/>
      <c r="C106" s="79"/>
      <c r="D106" s="186"/>
      <c r="E106" s="157"/>
      <c r="F106" s="78">
        <f>C106+D106+E106</f>
        <v>0</v>
      </c>
      <c r="G106" s="142"/>
      <c r="H106" s="210"/>
      <c r="I106" s="124">
        <f>F106+G106+H106</f>
        <v>0</v>
      </c>
      <c r="J106" s="142"/>
      <c r="K106" s="231"/>
      <c r="L106" s="279">
        <f>I106+J106+K106</f>
        <v>0</v>
      </c>
      <c r="M106" s="225"/>
      <c r="N106" s="186"/>
      <c r="O106" s="293">
        <f>L106+M106+N106</f>
        <v>0</v>
      </c>
      <c r="P106" s="323"/>
      <c r="Q106" s="329">
        <f t="shared" si="22"/>
        <v>0</v>
      </c>
      <c r="R106" s="345"/>
      <c r="S106" s="338" t="e">
        <f t="shared" si="17"/>
        <v>#DIV/0!</v>
      </c>
    </row>
    <row r="107" spans="1:19" ht="16.5" thickBot="1">
      <c r="A107" s="18" t="s">
        <v>57</v>
      </c>
      <c r="B107" s="59"/>
      <c r="C107" s="82">
        <f>C9+C14+C56+C84+C48+C102</f>
        <v>3645528.3</v>
      </c>
      <c r="D107" s="190">
        <f aca="true" t="shared" si="24" ref="D107:Q107">D9+D14+D56+D84+D48</f>
        <v>5296731.38</v>
      </c>
      <c r="E107" s="159">
        <f t="shared" si="24"/>
        <v>0</v>
      </c>
      <c r="F107" s="83">
        <f t="shared" si="24"/>
        <v>8942259.680000002</v>
      </c>
      <c r="G107" s="145">
        <f t="shared" si="24"/>
        <v>1054125.52</v>
      </c>
      <c r="H107" s="213">
        <f t="shared" si="24"/>
        <v>10243.17</v>
      </c>
      <c r="I107" s="126">
        <f t="shared" si="24"/>
        <v>10006628.37</v>
      </c>
      <c r="J107" s="145">
        <f t="shared" si="24"/>
        <v>379735.76</v>
      </c>
      <c r="K107" s="255">
        <f t="shared" si="24"/>
        <v>400</v>
      </c>
      <c r="L107" s="281">
        <f t="shared" si="24"/>
        <v>10386764.129999999</v>
      </c>
      <c r="M107" s="255">
        <f t="shared" si="24"/>
        <v>170249.51</v>
      </c>
      <c r="N107" s="213">
        <f t="shared" si="24"/>
        <v>0</v>
      </c>
      <c r="O107" s="243">
        <f t="shared" si="24"/>
        <v>10557013.639999999</v>
      </c>
      <c r="P107" s="82">
        <f t="shared" si="24"/>
        <v>51968.659999999996</v>
      </c>
      <c r="Q107" s="83">
        <f t="shared" si="24"/>
        <v>10612302.3</v>
      </c>
      <c r="R107" s="348">
        <f>R9+R14+R56+R84+R48</f>
        <v>11011417.51</v>
      </c>
      <c r="S107" s="343">
        <f t="shared" si="17"/>
        <v>103.76087298229338</v>
      </c>
    </row>
    <row r="108" spans="1:19" ht="12.75">
      <c r="A108" s="10" t="s">
        <v>382</v>
      </c>
      <c r="B108" s="52"/>
      <c r="C108" s="75"/>
      <c r="D108" s="186"/>
      <c r="E108" s="157"/>
      <c r="F108" s="78"/>
      <c r="G108" s="142"/>
      <c r="H108" s="210"/>
      <c r="I108" s="124"/>
      <c r="J108" s="142"/>
      <c r="K108" s="231"/>
      <c r="L108" s="279"/>
      <c r="M108" s="225"/>
      <c r="N108" s="186"/>
      <c r="O108" s="293"/>
      <c r="P108" s="323"/>
      <c r="Q108" s="329"/>
      <c r="R108" s="345"/>
      <c r="S108" s="338"/>
    </row>
    <row r="109" spans="1:20" ht="12.75">
      <c r="A109" s="10" t="s">
        <v>58</v>
      </c>
      <c r="B109" s="62"/>
      <c r="C109" s="75">
        <f aca="true" t="shared" si="25" ref="C109:O109">C110+C122</f>
        <v>51762.3</v>
      </c>
      <c r="D109" s="185">
        <f t="shared" si="25"/>
        <v>550</v>
      </c>
      <c r="E109" s="156">
        <f t="shared" si="25"/>
        <v>0</v>
      </c>
      <c r="F109" s="77">
        <f t="shared" si="25"/>
        <v>52312.3</v>
      </c>
      <c r="G109" s="141">
        <f t="shared" si="25"/>
        <v>-100</v>
      </c>
      <c r="H109" s="209">
        <f t="shared" si="25"/>
        <v>-1300</v>
      </c>
      <c r="I109" s="123">
        <f t="shared" si="25"/>
        <v>50912.3</v>
      </c>
      <c r="J109" s="141">
        <f t="shared" si="25"/>
        <v>1527.02</v>
      </c>
      <c r="K109" s="230">
        <f t="shared" si="25"/>
        <v>0</v>
      </c>
      <c r="L109" s="217">
        <f t="shared" si="25"/>
        <v>52439.32000000001</v>
      </c>
      <c r="M109" s="230">
        <f t="shared" si="25"/>
        <v>0</v>
      </c>
      <c r="N109" s="209">
        <f t="shared" si="25"/>
        <v>0</v>
      </c>
      <c r="O109" s="228">
        <f t="shared" si="25"/>
        <v>52439.32000000001</v>
      </c>
      <c r="P109" s="75">
        <f>P110+P122</f>
        <v>0</v>
      </c>
      <c r="Q109" s="77">
        <f>Q110+Q122</f>
        <v>52439.32000000001</v>
      </c>
      <c r="R109" s="346">
        <f>R110+R122</f>
        <v>45089.39000000001</v>
      </c>
      <c r="S109" s="337">
        <f t="shared" si="17"/>
        <v>85.9839334301055</v>
      </c>
      <c r="T109" s="120"/>
    </row>
    <row r="110" spans="1:20" ht="12.75">
      <c r="A110" s="19" t="s">
        <v>59</v>
      </c>
      <c r="B110" s="62"/>
      <c r="C110" s="84">
        <f aca="true" t="shared" si="26" ref="C110:O110">SUM(C112:C121)</f>
        <v>51762.3</v>
      </c>
      <c r="D110" s="191">
        <f t="shared" si="26"/>
        <v>550</v>
      </c>
      <c r="E110" s="160">
        <f t="shared" si="26"/>
        <v>0</v>
      </c>
      <c r="F110" s="85">
        <f t="shared" si="26"/>
        <v>52312.3</v>
      </c>
      <c r="G110" s="146">
        <f t="shared" si="26"/>
        <v>-2408</v>
      </c>
      <c r="H110" s="214">
        <f t="shared" si="26"/>
        <v>-1300</v>
      </c>
      <c r="I110" s="127">
        <f t="shared" si="26"/>
        <v>48604.3</v>
      </c>
      <c r="J110" s="146">
        <f t="shared" si="26"/>
        <v>1437.02</v>
      </c>
      <c r="K110" s="235">
        <f t="shared" si="26"/>
        <v>0</v>
      </c>
      <c r="L110" s="282">
        <f t="shared" si="26"/>
        <v>50041.32000000001</v>
      </c>
      <c r="M110" s="235">
        <f t="shared" si="26"/>
        <v>0</v>
      </c>
      <c r="N110" s="214">
        <f t="shared" si="26"/>
        <v>0</v>
      </c>
      <c r="O110" s="244">
        <f t="shared" si="26"/>
        <v>50041.32000000001</v>
      </c>
      <c r="P110" s="84">
        <f>SUM(P112:P121)</f>
        <v>0</v>
      </c>
      <c r="Q110" s="85">
        <f>SUM(Q112:Q121)</f>
        <v>50041.32000000001</v>
      </c>
      <c r="R110" s="349">
        <f>SUM(R112:R121)</f>
        <v>42698.130000000005</v>
      </c>
      <c r="S110" s="344">
        <f t="shared" si="17"/>
        <v>85.32574680284213</v>
      </c>
      <c r="T110" s="120"/>
    </row>
    <row r="111" spans="1:19" ht="10.5" customHeight="1">
      <c r="A111" s="15" t="s">
        <v>31</v>
      </c>
      <c r="B111" s="45"/>
      <c r="C111" s="79"/>
      <c r="D111" s="186"/>
      <c r="E111" s="157"/>
      <c r="F111" s="78"/>
      <c r="G111" s="142"/>
      <c r="H111" s="210"/>
      <c r="I111" s="124"/>
      <c r="J111" s="142"/>
      <c r="K111" s="231"/>
      <c r="L111" s="279"/>
      <c r="M111" s="225"/>
      <c r="N111" s="186"/>
      <c r="O111" s="293"/>
      <c r="P111" s="323"/>
      <c r="Q111" s="329"/>
      <c r="R111" s="345"/>
      <c r="S111" s="338"/>
    </row>
    <row r="112" spans="1:19" ht="12.75">
      <c r="A112" s="13" t="s">
        <v>160</v>
      </c>
      <c r="B112" s="60"/>
      <c r="C112" s="79">
        <v>17854.4</v>
      </c>
      <c r="D112" s="186"/>
      <c r="E112" s="157"/>
      <c r="F112" s="78">
        <f aca="true" t="shared" si="27" ref="F112:F121">C112+D112+E112</f>
        <v>17854.4</v>
      </c>
      <c r="G112" s="142"/>
      <c r="H112" s="210"/>
      <c r="I112" s="124">
        <f aca="true" t="shared" si="28" ref="I112:I121">F112+G112+H112</f>
        <v>17854.4</v>
      </c>
      <c r="J112" s="142"/>
      <c r="K112" s="231"/>
      <c r="L112" s="279">
        <f aca="true" t="shared" si="29" ref="L112:L121">I112+J112+K112</f>
        <v>17854.4</v>
      </c>
      <c r="M112" s="225"/>
      <c r="N112" s="186"/>
      <c r="O112" s="293">
        <f aca="true" t="shared" si="30" ref="O112:O121">L112+M112+N112</f>
        <v>17854.4</v>
      </c>
      <c r="P112" s="323"/>
      <c r="Q112" s="329">
        <f t="shared" si="22"/>
        <v>17854.4</v>
      </c>
      <c r="R112" s="345">
        <v>14215.79</v>
      </c>
      <c r="S112" s="338">
        <f t="shared" si="17"/>
        <v>79.62065373241329</v>
      </c>
    </row>
    <row r="113" spans="1:19" ht="12.75">
      <c r="A113" s="13" t="s">
        <v>60</v>
      </c>
      <c r="B113" s="60"/>
      <c r="C113" s="79">
        <v>4208.9</v>
      </c>
      <c r="D113" s="186"/>
      <c r="E113" s="157"/>
      <c r="F113" s="78">
        <f t="shared" si="27"/>
        <v>4208.9</v>
      </c>
      <c r="G113" s="142"/>
      <c r="H113" s="210"/>
      <c r="I113" s="124">
        <f t="shared" si="28"/>
        <v>4208.9</v>
      </c>
      <c r="J113" s="142"/>
      <c r="K113" s="231"/>
      <c r="L113" s="279">
        <f t="shared" si="29"/>
        <v>4208.9</v>
      </c>
      <c r="M113" s="225"/>
      <c r="N113" s="186"/>
      <c r="O113" s="293">
        <f t="shared" si="30"/>
        <v>4208.9</v>
      </c>
      <c r="P113" s="323"/>
      <c r="Q113" s="329">
        <f t="shared" si="22"/>
        <v>4208.9</v>
      </c>
      <c r="R113" s="345">
        <v>3305.76</v>
      </c>
      <c r="S113" s="338">
        <f t="shared" si="17"/>
        <v>78.54213690037778</v>
      </c>
    </row>
    <row r="114" spans="1:19" ht="12.75">
      <c r="A114" s="13" t="s">
        <v>61</v>
      </c>
      <c r="B114" s="60"/>
      <c r="C114" s="79">
        <v>1100</v>
      </c>
      <c r="D114" s="186">
        <f>545</f>
        <v>545</v>
      </c>
      <c r="E114" s="157"/>
      <c r="F114" s="78">
        <f t="shared" si="27"/>
        <v>1645</v>
      </c>
      <c r="G114" s="142">
        <f>50</f>
        <v>50</v>
      </c>
      <c r="H114" s="210"/>
      <c r="I114" s="124">
        <f t="shared" si="28"/>
        <v>1695</v>
      </c>
      <c r="J114" s="142"/>
      <c r="K114" s="231"/>
      <c r="L114" s="279">
        <f t="shared" si="29"/>
        <v>1695</v>
      </c>
      <c r="M114" s="225"/>
      <c r="N114" s="186"/>
      <c r="O114" s="293">
        <f t="shared" si="30"/>
        <v>1695</v>
      </c>
      <c r="P114" s="323"/>
      <c r="Q114" s="329">
        <f t="shared" si="22"/>
        <v>1695</v>
      </c>
      <c r="R114" s="345">
        <v>1490.73</v>
      </c>
      <c r="S114" s="338">
        <f t="shared" si="17"/>
        <v>87.94867256637168</v>
      </c>
    </row>
    <row r="115" spans="1:19" ht="12.75" hidden="1">
      <c r="A115" s="13" t="s">
        <v>202</v>
      </c>
      <c r="B115" s="60"/>
      <c r="C115" s="79"/>
      <c r="D115" s="186"/>
      <c r="E115" s="157"/>
      <c r="F115" s="78">
        <f t="shared" si="27"/>
        <v>0</v>
      </c>
      <c r="G115" s="142"/>
      <c r="H115" s="210"/>
      <c r="I115" s="124">
        <f t="shared" si="28"/>
        <v>0</v>
      </c>
      <c r="J115" s="142"/>
      <c r="K115" s="231"/>
      <c r="L115" s="279">
        <f t="shared" si="29"/>
        <v>0</v>
      </c>
      <c r="M115" s="225"/>
      <c r="N115" s="186"/>
      <c r="O115" s="293">
        <f t="shared" si="30"/>
        <v>0</v>
      </c>
      <c r="P115" s="323"/>
      <c r="Q115" s="329">
        <f t="shared" si="22"/>
        <v>0</v>
      </c>
      <c r="R115" s="345"/>
      <c r="S115" s="338" t="e">
        <f t="shared" si="17"/>
        <v>#DIV/0!</v>
      </c>
    </row>
    <row r="116" spans="1:19" ht="12.75" hidden="1">
      <c r="A116" s="13" t="s">
        <v>203</v>
      </c>
      <c r="B116" s="60"/>
      <c r="C116" s="79"/>
      <c r="D116" s="186"/>
      <c r="E116" s="157"/>
      <c r="F116" s="78">
        <f t="shared" si="27"/>
        <v>0</v>
      </c>
      <c r="G116" s="142"/>
      <c r="H116" s="210"/>
      <c r="I116" s="124">
        <f t="shared" si="28"/>
        <v>0</v>
      </c>
      <c r="J116" s="142"/>
      <c r="K116" s="231"/>
      <c r="L116" s="279">
        <f t="shared" si="29"/>
        <v>0</v>
      </c>
      <c r="M116" s="225"/>
      <c r="N116" s="186"/>
      <c r="O116" s="293">
        <f t="shared" si="30"/>
        <v>0</v>
      </c>
      <c r="P116" s="323"/>
      <c r="Q116" s="329">
        <f t="shared" si="22"/>
        <v>0</v>
      </c>
      <c r="R116" s="345"/>
      <c r="S116" s="338" t="e">
        <f t="shared" si="17"/>
        <v>#DIV/0!</v>
      </c>
    </row>
    <row r="117" spans="1:19" ht="12.75">
      <c r="A117" s="13" t="s">
        <v>62</v>
      </c>
      <c r="B117" s="60"/>
      <c r="C117" s="79">
        <v>19225</v>
      </c>
      <c r="D117" s="186">
        <f>550-545</f>
        <v>5</v>
      </c>
      <c r="E117" s="157"/>
      <c r="F117" s="78">
        <f t="shared" si="27"/>
        <v>19230</v>
      </c>
      <c r="G117" s="142">
        <f>-700-500-50-600-1000</f>
        <v>-2850</v>
      </c>
      <c r="H117" s="210">
        <f>-1500-1000</f>
        <v>-2500</v>
      </c>
      <c r="I117" s="124">
        <f t="shared" si="28"/>
        <v>13880</v>
      </c>
      <c r="J117" s="142">
        <f>27.02+1500</f>
        <v>1527.02</v>
      </c>
      <c r="K117" s="231"/>
      <c r="L117" s="279">
        <f t="shared" si="29"/>
        <v>15407.02</v>
      </c>
      <c r="M117" s="225"/>
      <c r="N117" s="186"/>
      <c r="O117" s="293">
        <f t="shared" si="30"/>
        <v>15407.02</v>
      </c>
      <c r="P117" s="323"/>
      <c r="Q117" s="329">
        <f t="shared" si="22"/>
        <v>15407.02</v>
      </c>
      <c r="R117" s="345">
        <v>12993.14</v>
      </c>
      <c r="S117" s="338">
        <f t="shared" si="17"/>
        <v>84.3325964398047</v>
      </c>
    </row>
    <row r="118" spans="1:19" ht="12.75" hidden="1">
      <c r="A118" s="13" t="s">
        <v>269</v>
      </c>
      <c r="B118" s="60">
        <v>95029</v>
      </c>
      <c r="C118" s="79"/>
      <c r="D118" s="186"/>
      <c r="E118" s="157"/>
      <c r="F118" s="78">
        <f t="shared" si="27"/>
        <v>0</v>
      </c>
      <c r="G118" s="142"/>
      <c r="H118" s="210"/>
      <c r="I118" s="124"/>
      <c r="J118" s="142"/>
      <c r="K118" s="231"/>
      <c r="L118" s="279"/>
      <c r="M118" s="225"/>
      <c r="N118" s="186"/>
      <c r="O118" s="293"/>
      <c r="P118" s="323"/>
      <c r="Q118" s="329"/>
      <c r="R118" s="345"/>
      <c r="S118" s="338" t="e">
        <f t="shared" si="17"/>
        <v>#DIV/0!</v>
      </c>
    </row>
    <row r="119" spans="1:19" ht="12.75" hidden="1">
      <c r="A119" s="13" t="s">
        <v>93</v>
      </c>
      <c r="B119" s="60"/>
      <c r="C119" s="79"/>
      <c r="D119" s="186"/>
      <c r="E119" s="157"/>
      <c r="F119" s="78">
        <f t="shared" si="27"/>
        <v>0</v>
      </c>
      <c r="G119" s="142"/>
      <c r="H119" s="210"/>
      <c r="I119" s="124"/>
      <c r="J119" s="142"/>
      <c r="K119" s="231"/>
      <c r="L119" s="279"/>
      <c r="M119" s="225"/>
      <c r="N119" s="186"/>
      <c r="O119" s="293"/>
      <c r="P119" s="323"/>
      <c r="Q119" s="329"/>
      <c r="R119" s="345"/>
      <c r="S119" s="338" t="e">
        <f t="shared" si="17"/>
        <v>#DIV/0!</v>
      </c>
    </row>
    <row r="120" spans="1:19" ht="12.75">
      <c r="A120" s="13" t="s">
        <v>63</v>
      </c>
      <c r="B120" s="60"/>
      <c r="C120" s="79">
        <v>500</v>
      </c>
      <c r="D120" s="186"/>
      <c r="E120" s="157"/>
      <c r="F120" s="78">
        <f t="shared" si="27"/>
        <v>500</v>
      </c>
      <c r="G120" s="142"/>
      <c r="H120" s="210">
        <f>-300</f>
        <v>-300</v>
      </c>
      <c r="I120" s="124">
        <f t="shared" si="28"/>
        <v>200</v>
      </c>
      <c r="J120" s="142"/>
      <c r="K120" s="231"/>
      <c r="L120" s="279">
        <f t="shared" si="29"/>
        <v>200</v>
      </c>
      <c r="M120" s="225"/>
      <c r="N120" s="186"/>
      <c r="O120" s="293">
        <f t="shared" si="30"/>
        <v>200</v>
      </c>
      <c r="P120" s="323"/>
      <c r="Q120" s="329">
        <f t="shared" si="22"/>
        <v>200</v>
      </c>
      <c r="R120" s="345">
        <v>52.38</v>
      </c>
      <c r="S120" s="338">
        <f t="shared" si="17"/>
        <v>26.19</v>
      </c>
    </row>
    <row r="121" spans="1:19" ht="12.75">
      <c r="A121" s="13" t="s">
        <v>64</v>
      </c>
      <c r="B121" s="60"/>
      <c r="C121" s="79">
        <v>8874</v>
      </c>
      <c r="D121" s="186"/>
      <c r="E121" s="157"/>
      <c r="F121" s="78">
        <f t="shared" si="27"/>
        <v>8874</v>
      </c>
      <c r="G121" s="142">
        <f>700-990-90-228+1000</f>
        <v>392</v>
      </c>
      <c r="H121" s="210">
        <f>1500</f>
        <v>1500</v>
      </c>
      <c r="I121" s="124">
        <f t="shared" si="28"/>
        <v>10766</v>
      </c>
      <c r="J121" s="142">
        <f>-90</f>
        <v>-90</v>
      </c>
      <c r="K121" s="231"/>
      <c r="L121" s="279">
        <f t="shared" si="29"/>
        <v>10676</v>
      </c>
      <c r="M121" s="225"/>
      <c r="N121" s="186"/>
      <c r="O121" s="293">
        <f t="shared" si="30"/>
        <v>10676</v>
      </c>
      <c r="P121" s="323"/>
      <c r="Q121" s="329">
        <f t="shared" si="22"/>
        <v>10676</v>
      </c>
      <c r="R121" s="345">
        <v>10640.33</v>
      </c>
      <c r="S121" s="338">
        <f t="shared" si="17"/>
        <v>99.6658860996628</v>
      </c>
    </row>
    <row r="122" spans="1:19" ht="12.75">
      <c r="A122" s="20" t="s">
        <v>65</v>
      </c>
      <c r="B122" s="64"/>
      <c r="C122" s="87">
        <f aca="true" t="shared" si="31" ref="C122:R122">SUM(C124:C127)</f>
        <v>0</v>
      </c>
      <c r="D122" s="192">
        <f t="shared" si="31"/>
        <v>0</v>
      </c>
      <c r="E122" s="162">
        <f t="shared" si="31"/>
        <v>0</v>
      </c>
      <c r="F122" s="88">
        <f t="shared" si="31"/>
        <v>0</v>
      </c>
      <c r="G122" s="226">
        <f t="shared" si="31"/>
        <v>2308</v>
      </c>
      <c r="H122" s="227">
        <f t="shared" si="31"/>
        <v>0</v>
      </c>
      <c r="I122" s="128">
        <f t="shared" si="31"/>
        <v>2308</v>
      </c>
      <c r="J122" s="263">
        <f t="shared" si="31"/>
        <v>90</v>
      </c>
      <c r="K122" s="256">
        <f t="shared" si="31"/>
        <v>0</v>
      </c>
      <c r="L122" s="283">
        <f t="shared" si="31"/>
        <v>2398</v>
      </c>
      <c r="M122" s="256">
        <f t="shared" si="31"/>
        <v>0</v>
      </c>
      <c r="N122" s="303">
        <f t="shared" si="31"/>
        <v>0</v>
      </c>
      <c r="O122" s="245">
        <f t="shared" si="31"/>
        <v>2398</v>
      </c>
      <c r="P122" s="87">
        <f t="shared" si="31"/>
        <v>0</v>
      </c>
      <c r="Q122" s="88">
        <f t="shared" si="31"/>
        <v>2398</v>
      </c>
      <c r="R122" s="350">
        <f t="shared" si="31"/>
        <v>2391.26</v>
      </c>
      <c r="S122" s="344">
        <f t="shared" si="17"/>
        <v>99.7189324437031</v>
      </c>
    </row>
    <row r="123" spans="1:19" ht="11.25" customHeight="1">
      <c r="A123" s="11" t="s">
        <v>31</v>
      </c>
      <c r="B123" s="60"/>
      <c r="C123" s="80"/>
      <c r="D123" s="189"/>
      <c r="E123" s="158"/>
      <c r="F123" s="81"/>
      <c r="G123" s="144"/>
      <c r="H123" s="212"/>
      <c r="I123" s="125"/>
      <c r="J123" s="144"/>
      <c r="K123" s="232"/>
      <c r="L123" s="280"/>
      <c r="M123" s="272"/>
      <c r="N123" s="189"/>
      <c r="O123" s="294"/>
      <c r="P123" s="323"/>
      <c r="Q123" s="329"/>
      <c r="R123" s="345"/>
      <c r="S123" s="338"/>
    </row>
    <row r="124" spans="1:19" ht="12.75" hidden="1">
      <c r="A124" s="13" t="s">
        <v>204</v>
      </c>
      <c r="B124" s="60"/>
      <c r="C124" s="79"/>
      <c r="D124" s="186"/>
      <c r="E124" s="157"/>
      <c r="F124" s="78">
        <f>C124+D124+E124</f>
        <v>0</v>
      </c>
      <c r="G124" s="142"/>
      <c r="H124" s="210"/>
      <c r="I124" s="124">
        <f>F124+G124+H124</f>
        <v>0</v>
      </c>
      <c r="J124" s="142"/>
      <c r="K124" s="231"/>
      <c r="L124" s="279">
        <f>I124+J124+K124</f>
        <v>0</v>
      </c>
      <c r="M124" s="225"/>
      <c r="N124" s="186"/>
      <c r="O124" s="293">
        <f>L124+M124+N124</f>
        <v>0</v>
      </c>
      <c r="P124" s="323"/>
      <c r="Q124" s="329">
        <f t="shared" si="22"/>
        <v>0</v>
      </c>
      <c r="R124" s="345"/>
      <c r="S124" s="338" t="e">
        <f t="shared" si="17"/>
        <v>#DIV/0!</v>
      </c>
    </row>
    <row r="125" spans="1:19" ht="12.75" hidden="1">
      <c r="A125" s="13" t="s">
        <v>269</v>
      </c>
      <c r="B125" s="60"/>
      <c r="C125" s="79"/>
      <c r="D125" s="186"/>
      <c r="E125" s="157"/>
      <c r="F125" s="78">
        <f>C125+D125+E125</f>
        <v>0</v>
      </c>
      <c r="G125" s="142"/>
      <c r="H125" s="210"/>
      <c r="I125" s="124">
        <f>F125+G125+H125</f>
        <v>0</v>
      </c>
      <c r="J125" s="142"/>
      <c r="K125" s="231"/>
      <c r="L125" s="279">
        <f>I125+J125+K125</f>
        <v>0</v>
      </c>
      <c r="M125" s="225"/>
      <c r="N125" s="186"/>
      <c r="O125" s="293"/>
      <c r="P125" s="323"/>
      <c r="Q125" s="329"/>
      <c r="R125" s="345"/>
      <c r="S125" s="338" t="e">
        <f t="shared" si="17"/>
        <v>#DIV/0!</v>
      </c>
    </row>
    <row r="126" spans="1:19" ht="12.75">
      <c r="A126" s="16" t="s">
        <v>64</v>
      </c>
      <c r="B126" s="63"/>
      <c r="C126" s="86"/>
      <c r="D126" s="193"/>
      <c r="E126" s="161"/>
      <c r="F126" s="112">
        <f>C126+D126+E126</f>
        <v>0</v>
      </c>
      <c r="G126" s="136">
        <f>990+1000+90+228</f>
        <v>2308</v>
      </c>
      <c r="H126" s="215"/>
      <c r="I126" s="129">
        <f>F126+G126+H126</f>
        <v>2308</v>
      </c>
      <c r="J126" s="136">
        <f>90</f>
        <v>90</v>
      </c>
      <c r="K126" s="233"/>
      <c r="L126" s="315">
        <f>I126+J126+K126</f>
        <v>2398</v>
      </c>
      <c r="M126" s="274"/>
      <c r="N126" s="193"/>
      <c r="O126" s="295">
        <f>L126+M126+N126</f>
        <v>2398</v>
      </c>
      <c r="P126" s="326"/>
      <c r="Q126" s="330">
        <f t="shared" si="22"/>
        <v>2398</v>
      </c>
      <c r="R126" s="351">
        <v>2391.26</v>
      </c>
      <c r="S126" s="340">
        <f t="shared" si="17"/>
        <v>99.7189324437031</v>
      </c>
    </row>
    <row r="127" spans="1:19" ht="12.75" hidden="1">
      <c r="A127" s="16" t="s">
        <v>66</v>
      </c>
      <c r="B127" s="63"/>
      <c r="C127" s="86"/>
      <c r="D127" s="193"/>
      <c r="E127" s="161"/>
      <c r="F127" s="112">
        <f>C127+D127+E127</f>
        <v>0</v>
      </c>
      <c r="G127" s="136"/>
      <c r="H127" s="215"/>
      <c r="I127" s="129">
        <f>F127+G127+H127</f>
        <v>0</v>
      </c>
      <c r="J127" s="136"/>
      <c r="K127" s="233"/>
      <c r="L127" s="315">
        <f>I127+J127+K127</f>
        <v>0</v>
      </c>
      <c r="M127" s="274"/>
      <c r="N127" s="193"/>
      <c r="O127" s="295">
        <f>L127+M127+N127</f>
        <v>0</v>
      </c>
      <c r="P127" s="323"/>
      <c r="Q127" s="329">
        <f t="shared" si="22"/>
        <v>0</v>
      </c>
      <c r="R127" s="345"/>
      <c r="S127" s="338" t="e">
        <f t="shared" si="17"/>
        <v>#DIV/0!</v>
      </c>
    </row>
    <row r="128" spans="1:20" ht="12.75">
      <c r="A128" s="10" t="s">
        <v>67</v>
      </c>
      <c r="B128" s="64"/>
      <c r="C128" s="75">
        <f aca="true" t="shared" si="32" ref="C128:L128">C129+C151</f>
        <v>321211.5</v>
      </c>
      <c r="D128" s="185">
        <f t="shared" si="32"/>
        <v>3748.13</v>
      </c>
      <c r="E128" s="156">
        <f t="shared" si="32"/>
        <v>0</v>
      </c>
      <c r="F128" s="77">
        <f t="shared" si="32"/>
        <v>324959.63</v>
      </c>
      <c r="G128" s="75">
        <f t="shared" si="32"/>
        <v>3486.15</v>
      </c>
      <c r="H128" s="185">
        <f t="shared" si="32"/>
        <v>0</v>
      </c>
      <c r="I128" s="77">
        <f t="shared" si="32"/>
        <v>328445.78</v>
      </c>
      <c r="J128" s="141">
        <f t="shared" si="32"/>
        <v>2702.75</v>
      </c>
      <c r="K128" s="230">
        <f t="shared" si="32"/>
        <v>0</v>
      </c>
      <c r="L128" s="217">
        <f t="shared" si="32"/>
        <v>331148.52999999997</v>
      </c>
      <c r="M128" s="230">
        <f aca="true" t="shared" si="33" ref="M128:R128">M129+M151</f>
        <v>100</v>
      </c>
      <c r="N128" s="209">
        <f t="shared" si="33"/>
        <v>0</v>
      </c>
      <c r="O128" s="228">
        <f t="shared" si="33"/>
        <v>331248.52999999997</v>
      </c>
      <c r="P128" s="75">
        <f t="shared" si="33"/>
        <v>0</v>
      </c>
      <c r="Q128" s="77">
        <f t="shared" si="33"/>
        <v>331248.52999999997</v>
      </c>
      <c r="R128" s="346">
        <f t="shared" si="33"/>
        <v>312519.5900000001</v>
      </c>
      <c r="S128" s="337">
        <f t="shared" si="17"/>
        <v>94.34595528620162</v>
      </c>
      <c r="T128" s="120"/>
    </row>
    <row r="129" spans="1:19" ht="12.75">
      <c r="A129" s="19" t="s">
        <v>59</v>
      </c>
      <c r="B129" s="64"/>
      <c r="C129" s="84">
        <f aca="true" t="shared" si="34" ref="C129:L129">SUM(C131:C150)</f>
        <v>321211.5</v>
      </c>
      <c r="D129" s="191">
        <f t="shared" si="34"/>
        <v>3181.69</v>
      </c>
      <c r="E129" s="160">
        <f t="shared" si="34"/>
        <v>0</v>
      </c>
      <c r="F129" s="85">
        <f t="shared" si="34"/>
        <v>324393.19</v>
      </c>
      <c r="G129" s="84">
        <f t="shared" si="34"/>
        <v>2742</v>
      </c>
      <c r="H129" s="191">
        <f t="shared" si="34"/>
        <v>0</v>
      </c>
      <c r="I129" s="85">
        <f t="shared" si="34"/>
        <v>327135.19</v>
      </c>
      <c r="J129" s="146">
        <f t="shared" si="34"/>
        <v>1958.6</v>
      </c>
      <c r="K129" s="235">
        <f t="shared" si="34"/>
        <v>0</v>
      </c>
      <c r="L129" s="282">
        <f t="shared" si="34"/>
        <v>329093.79</v>
      </c>
      <c r="M129" s="235">
        <f aca="true" t="shared" si="35" ref="M129:R129">SUM(M131:M150)</f>
        <v>100</v>
      </c>
      <c r="N129" s="214">
        <f t="shared" si="35"/>
        <v>0</v>
      </c>
      <c r="O129" s="244">
        <f t="shared" si="35"/>
        <v>329193.79</v>
      </c>
      <c r="P129" s="84">
        <f t="shared" si="35"/>
        <v>0</v>
      </c>
      <c r="Q129" s="85">
        <f t="shared" si="35"/>
        <v>329193.79</v>
      </c>
      <c r="R129" s="349">
        <f t="shared" si="35"/>
        <v>312519.5900000001</v>
      </c>
      <c r="S129" s="344">
        <f t="shared" si="17"/>
        <v>94.93483762254449</v>
      </c>
    </row>
    <row r="130" spans="1:19" ht="12.75">
      <c r="A130" s="15" t="s">
        <v>31</v>
      </c>
      <c r="B130" s="60"/>
      <c r="C130" s="79"/>
      <c r="D130" s="186"/>
      <c r="E130" s="157"/>
      <c r="F130" s="78"/>
      <c r="G130" s="142"/>
      <c r="H130" s="210"/>
      <c r="I130" s="124"/>
      <c r="J130" s="142"/>
      <c r="K130" s="231"/>
      <c r="L130" s="279"/>
      <c r="M130" s="225"/>
      <c r="N130" s="186"/>
      <c r="O130" s="293"/>
      <c r="P130" s="323"/>
      <c r="Q130" s="329"/>
      <c r="R130" s="345"/>
      <c r="S130" s="338"/>
    </row>
    <row r="131" spans="1:19" ht="12.75">
      <c r="A131" s="22" t="s">
        <v>161</v>
      </c>
      <c r="B131" s="60"/>
      <c r="C131" s="79">
        <v>163347.3</v>
      </c>
      <c r="D131" s="186"/>
      <c r="E131" s="157"/>
      <c r="F131" s="78">
        <f aca="true" t="shared" si="36" ref="F131:F150">C131+D131+E131</f>
        <v>163347.3</v>
      </c>
      <c r="G131" s="142"/>
      <c r="H131" s="210"/>
      <c r="I131" s="124">
        <f>F131+G131+H131</f>
        <v>163347.3</v>
      </c>
      <c r="J131" s="262">
        <f>453.1</f>
        <v>453.1</v>
      </c>
      <c r="K131" s="231"/>
      <c r="L131" s="279">
        <f>I131+J131+K131</f>
        <v>163800.4</v>
      </c>
      <c r="M131" s="225">
        <f>-20</f>
        <v>-20</v>
      </c>
      <c r="N131" s="186"/>
      <c r="O131" s="293">
        <f>L131+M131+N131</f>
        <v>163780.4</v>
      </c>
      <c r="P131" s="323"/>
      <c r="Q131" s="329">
        <f t="shared" si="22"/>
        <v>163780.4</v>
      </c>
      <c r="R131" s="345">
        <v>160635.66</v>
      </c>
      <c r="S131" s="338">
        <f t="shared" si="17"/>
        <v>98.07990455512382</v>
      </c>
    </row>
    <row r="132" spans="1:19" ht="12.75">
      <c r="A132" s="13" t="s">
        <v>60</v>
      </c>
      <c r="B132" s="60"/>
      <c r="C132" s="79">
        <v>55659.6</v>
      </c>
      <c r="D132" s="186"/>
      <c r="E132" s="157"/>
      <c r="F132" s="78">
        <f t="shared" si="36"/>
        <v>55659.6</v>
      </c>
      <c r="G132" s="142"/>
      <c r="H132" s="210"/>
      <c r="I132" s="124">
        <f aca="true" t="shared" si="37" ref="I132:I147">F132+G132+H132</f>
        <v>55659.6</v>
      </c>
      <c r="J132" s="142">
        <f>156.1</f>
        <v>156.1</v>
      </c>
      <c r="K132" s="231"/>
      <c r="L132" s="279">
        <f aca="true" t="shared" si="38" ref="L132:L150">I132+J132+K132</f>
        <v>55815.7</v>
      </c>
      <c r="M132" s="225">
        <f>20</f>
        <v>20</v>
      </c>
      <c r="N132" s="186"/>
      <c r="O132" s="293">
        <f aca="true" t="shared" si="39" ref="O132:O150">L132+M132+N132</f>
        <v>55835.7</v>
      </c>
      <c r="P132" s="323"/>
      <c r="Q132" s="329">
        <f t="shared" si="22"/>
        <v>55835.7</v>
      </c>
      <c r="R132" s="345">
        <v>55159.32</v>
      </c>
      <c r="S132" s="338">
        <f t="shared" si="17"/>
        <v>98.78862448218614</v>
      </c>
    </row>
    <row r="133" spans="1:19" ht="12.75">
      <c r="A133" s="13" t="s">
        <v>68</v>
      </c>
      <c r="B133" s="60"/>
      <c r="C133" s="79">
        <v>200</v>
      </c>
      <c r="D133" s="186"/>
      <c r="E133" s="157"/>
      <c r="F133" s="78">
        <f t="shared" si="36"/>
        <v>200</v>
      </c>
      <c r="G133" s="142"/>
      <c r="H133" s="210"/>
      <c r="I133" s="124">
        <f t="shared" si="37"/>
        <v>200</v>
      </c>
      <c r="J133" s="142"/>
      <c r="K133" s="231"/>
      <c r="L133" s="279">
        <f t="shared" si="38"/>
        <v>200</v>
      </c>
      <c r="M133" s="225"/>
      <c r="N133" s="186"/>
      <c r="O133" s="293">
        <f t="shared" si="39"/>
        <v>200</v>
      </c>
      <c r="P133" s="323"/>
      <c r="Q133" s="329">
        <f t="shared" si="22"/>
        <v>200</v>
      </c>
      <c r="R133" s="345">
        <v>149.16</v>
      </c>
      <c r="S133" s="338">
        <f t="shared" si="17"/>
        <v>74.58</v>
      </c>
    </row>
    <row r="134" spans="1:19" ht="12.75">
      <c r="A134" s="13" t="s">
        <v>62</v>
      </c>
      <c r="B134" s="60"/>
      <c r="C134" s="79">
        <v>42471.6</v>
      </c>
      <c r="D134" s="186">
        <f>700+2270</f>
        <v>2970</v>
      </c>
      <c r="E134" s="157"/>
      <c r="F134" s="78">
        <f t="shared" si="36"/>
        <v>45441.6</v>
      </c>
      <c r="G134" s="142">
        <f>-116+1500</f>
        <v>1384</v>
      </c>
      <c r="H134" s="210"/>
      <c r="I134" s="124">
        <f t="shared" si="37"/>
        <v>46825.6</v>
      </c>
      <c r="J134" s="142">
        <f>15.9</f>
        <v>15.9</v>
      </c>
      <c r="K134" s="231"/>
      <c r="L134" s="279">
        <f t="shared" si="38"/>
        <v>46841.5</v>
      </c>
      <c r="M134" s="225"/>
      <c r="N134" s="186"/>
      <c r="O134" s="293">
        <f t="shared" si="39"/>
        <v>46841.5</v>
      </c>
      <c r="P134" s="323"/>
      <c r="Q134" s="329">
        <f t="shared" si="22"/>
        <v>46841.5</v>
      </c>
      <c r="R134" s="345">
        <f>36057.68-2.53</f>
        <v>36055.15</v>
      </c>
      <c r="S134" s="338">
        <f t="shared" si="17"/>
        <v>76.97266312991685</v>
      </c>
    </row>
    <row r="135" spans="1:19" ht="12.75">
      <c r="A135" s="13" t="s">
        <v>69</v>
      </c>
      <c r="B135" s="60" t="s">
        <v>237</v>
      </c>
      <c r="C135" s="79">
        <v>636</v>
      </c>
      <c r="D135" s="186"/>
      <c r="E135" s="157"/>
      <c r="F135" s="78">
        <f t="shared" si="36"/>
        <v>636</v>
      </c>
      <c r="G135" s="142">
        <f>-384</f>
        <v>-384</v>
      </c>
      <c r="H135" s="210"/>
      <c r="I135" s="124">
        <f t="shared" si="37"/>
        <v>252</v>
      </c>
      <c r="J135" s="142"/>
      <c r="K135" s="231"/>
      <c r="L135" s="279">
        <f t="shared" si="38"/>
        <v>252</v>
      </c>
      <c r="M135" s="225"/>
      <c r="N135" s="186"/>
      <c r="O135" s="293">
        <f t="shared" si="39"/>
        <v>252</v>
      </c>
      <c r="P135" s="323"/>
      <c r="Q135" s="329">
        <f t="shared" si="22"/>
        <v>252</v>
      </c>
      <c r="R135" s="345">
        <v>128.2</v>
      </c>
      <c r="S135" s="338">
        <f t="shared" si="17"/>
        <v>50.87301587301587</v>
      </c>
    </row>
    <row r="136" spans="1:19" ht="12.75" hidden="1">
      <c r="A136" s="13" t="s">
        <v>70</v>
      </c>
      <c r="B136" s="60" t="s">
        <v>236</v>
      </c>
      <c r="C136" s="79"/>
      <c r="D136" s="186"/>
      <c r="E136" s="157"/>
      <c r="F136" s="78">
        <f t="shared" si="36"/>
        <v>0</v>
      </c>
      <c r="G136" s="142"/>
      <c r="H136" s="210"/>
      <c r="I136" s="124">
        <f t="shared" si="37"/>
        <v>0</v>
      </c>
      <c r="J136" s="142"/>
      <c r="K136" s="231"/>
      <c r="L136" s="279">
        <f t="shared" si="38"/>
        <v>0</v>
      </c>
      <c r="M136" s="225"/>
      <c r="N136" s="186"/>
      <c r="O136" s="293">
        <f t="shared" si="39"/>
        <v>0</v>
      </c>
      <c r="P136" s="323"/>
      <c r="Q136" s="329">
        <f t="shared" si="22"/>
        <v>0</v>
      </c>
      <c r="R136" s="345"/>
      <c r="S136" s="338" t="e">
        <f t="shared" si="17"/>
        <v>#DIV/0!</v>
      </c>
    </row>
    <row r="137" spans="1:19" ht="12.75">
      <c r="A137" s="13" t="s">
        <v>71</v>
      </c>
      <c r="B137" s="60" t="s">
        <v>236</v>
      </c>
      <c r="C137" s="79">
        <v>58897</v>
      </c>
      <c r="D137" s="186"/>
      <c r="E137" s="157"/>
      <c r="F137" s="78">
        <f t="shared" si="36"/>
        <v>58897</v>
      </c>
      <c r="G137" s="142">
        <f>1500</f>
        <v>1500</v>
      </c>
      <c r="H137" s="210"/>
      <c r="I137" s="124">
        <f t="shared" si="37"/>
        <v>60397</v>
      </c>
      <c r="J137" s="142"/>
      <c r="K137" s="231"/>
      <c r="L137" s="279">
        <f t="shared" si="38"/>
        <v>60397</v>
      </c>
      <c r="M137" s="225"/>
      <c r="N137" s="186"/>
      <c r="O137" s="293">
        <f t="shared" si="39"/>
        <v>60397</v>
      </c>
      <c r="P137" s="323"/>
      <c r="Q137" s="329">
        <f t="shared" si="22"/>
        <v>60397</v>
      </c>
      <c r="R137" s="345">
        <v>58689.91</v>
      </c>
      <c r="S137" s="338">
        <f t="shared" si="17"/>
        <v>97.1735516664735</v>
      </c>
    </row>
    <row r="138" spans="1:19" ht="12.75">
      <c r="A138" s="13" t="s">
        <v>92</v>
      </c>
      <c r="B138" s="60"/>
      <c r="C138" s="79"/>
      <c r="D138" s="186">
        <f>210.03</f>
        <v>210.03</v>
      </c>
      <c r="E138" s="157"/>
      <c r="F138" s="78">
        <f t="shared" si="36"/>
        <v>210.03</v>
      </c>
      <c r="G138" s="142"/>
      <c r="H138" s="210"/>
      <c r="I138" s="124">
        <f t="shared" si="37"/>
        <v>210.03</v>
      </c>
      <c r="J138" s="142"/>
      <c r="K138" s="231"/>
      <c r="L138" s="279">
        <f t="shared" si="38"/>
        <v>210.03</v>
      </c>
      <c r="M138" s="225"/>
      <c r="N138" s="186"/>
      <c r="O138" s="293">
        <f t="shared" si="39"/>
        <v>210.03</v>
      </c>
      <c r="P138" s="323"/>
      <c r="Q138" s="329">
        <f t="shared" si="22"/>
        <v>210.03</v>
      </c>
      <c r="R138" s="345">
        <v>71.71</v>
      </c>
      <c r="S138" s="338">
        <f t="shared" si="17"/>
        <v>34.14274151311717</v>
      </c>
    </row>
    <row r="139" spans="1:19" ht="12" customHeight="1" hidden="1">
      <c r="A139" s="13" t="s">
        <v>285</v>
      </c>
      <c r="B139" s="60">
        <v>2600</v>
      </c>
      <c r="C139" s="79"/>
      <c r="D139" s="186"/>
      <c r="E139" s="157"/>
      <c r="F139" s="78">
        <f t="shared" si="36"/>
        <v>0</v>
      </c>
      <c r="G139" s="142"/>
      <c r="H139" s="210"/>
      <c r="I139" s="124">
        <f t="shared" si="37"/>
        <v>0</v>
      </c>
      <c r="J139" s="142"/>
      <c r="K139" s="231"/>
      <c r="L139" s="279">
        <f t="shared" si="38"/>
        <v>0</v>
      </c>
      <c r="M139" s="225"/>
      <c r="N139" s="186"/>
      <c r="O139" s="293">
        <f t="shared" si="39"/>
        <v>0</v>
      </c>
      <c r="P139" s="323"/>
      <c r="Q139" s="329">
        <f t="shared" si="22"/>
        <v>0</v>
      </c>
      <c r="R139" s="345"/>
      <c r="S139" s="338" t="e">
        <f t="shared" si="17"/>
        <v>#DIV/0!</v>
      </c>
    </row>
    <row r="140" spans="1:19" ht="12.75" hidden="1">
      <c r="A140" s="13" t="s">
        <v>174</v>
      </c>
      <c r="B140" s="60"/>
      <c r="C140" s="79"/>
      <c r="D140" s="186"/>
      <c r="E140" s="157"/>
      <c r="F140" s="78">
        <f t="shared" si="36"/>
        <v>0</v>
      </c>
      <c r="G140" s="142"/>
      <c r="H140" s="210"/>
      <c r="I140" s="124">
        <f t="shared" si="37"/>
        <v>0</v>
      </c>
      <c r="J140" s="142"/>
      <c r="K140" s="231"/>
      <c r="L140" s="279">
        <f t="shared" si="38"/>
        <v>0</v>
      </c>
      <c r="M140" s="225"/>
      <c r="N140" s="186"/>
      <c r="O140" s="293">
        <f t="shared" si="39"/>
        <v>0</v>
      </c>
      <c r="P140" s="323"/>
      <c r="Q140" s="329">
        <f t="shared" si="22"/>
        <v>0</v>
      </c>
      <c r="R140" s="345"/>
      <c r="S140" s="338" t="e">
        <f t="shared" si="17"/>
        <v>#DIV/0!</v>
      </c>
    </row>
    <row r="141" spans="1:19" ht="12.75" hidden="1">
      <c r="A141" s="13" t="s">
        <v>286</v>
      </c>
      <c r="B141" s="60">
        <v>1800</v>
      </c>
      <c r="C141" s="79"/>
      <c r="D141" s="186"/>
      <c r="E141" s="157"/>
      <c r="F141" s="78">
        <f t="shared" si="36"/>
        <v>0</v>
      </c>
      <c r="G141" s="142"/>
      <c r="H141" s="210"/>
      <c r="I141" s="124">
        <f t="shared" si="37"/>
        <v>0</v>
      </c>
      <c r="J141" s="142"/>
      <c r="K141" s="231"/>
      <c r="L141" s="279">
        <f t="shared" si="38"/>
        <v>0</v>
      </c>
      <c r="M141" s="225"/>
      <c r="N141" s="186"/>
      <c r="O141" s="293">
        <f t="shared" si="39"/>
        <v>0</v>
      </c>
      <c r="P141" s="323"/>
      <c r="Q141" s="329">
        <f t="shared" si="22"/>
        <v>0</v>
      </c>
      <c r="R141" s="345"/>
      <c r="S141" s="338" t="e">
        <f t="shared" si="17"/>
        <v>#DIV/0!</v>
      </c>
    </row>
    <row r="142" spans="1:19" ht="12.75" hidden="1">
      <c r="A142" s="61" t="s">
        <v>199</v>
      </c>
      <c r="B142" s="60"/>
      <c r="C142" s="79"/>
      <c r="D142" s="186"/>
      <c r="E142" s="157"/>
      <c r="F142" s="78">
        <f t="shared" si="36"/>
        <v>0</v>
      </c>
      <c r="G142" s="142"/>
      <c r="H142" s="210"/>
      <c r="I142" s="124">
        <f t="shared" si="37"/>
        <v>0</v>
      </c>
      <c r="J142" s="142"/>
      <c r="K142" s="231"/>
      <c r="L142" s="279">
        <f t="shared" si="38"/>
        <v>0</v>
      </c>
      <c r="M142" s="225"/>
      <c r="N142" s="186"/>
      <c r="O142" s="293">
        <f t="shared" si="39"/>
        <v>0</v>
      </c>
      <c r="P142" s="323"/>
      <c r="Q142" s="329">
        <f t="shared" si="22"/>
        <v>0</v>
      </c>
      <c r="R142" s="345"/>
      <c r="S142" s="338" t="e">
        <f t="shared" si="17"/>
        <v>#DIV/0!</v>
      </c>
    </row>
    <row r="143" spans="1:19" ht="12.75">
      <c r="A143" s="13" t="s">
        <v>241</v>
      </c>
      <c r="B143" s="60">
        <v>3200</v>
      </c>
      <c r="C143" s="79"/>
      <c r="D143" s="186">
        <v>1.66</v>
      </c>
      <c r="E143" s="157"/>
      <c r="F143" s="78">
        <f t="shared" si="36"/>
        <v>1.66</v>
      </c>
      <c r="G143" s="142"/>
      <c r="H143" s="210"/>
      <c r="I143" s="124">
        <f t="shared" si="37"/>
        <v>1.66</v>
      </c>
      <c r="J143" s="142"/>
      <c r="K143" s="231"/>
      <c r="L143" s="279">
        <f t="shared" si="38"/>
        <v>1.66</v>
      </c>
      <c r="M143" s="225"/>
      <c r="N143" s="186"/>
      <c r="O143" s="293">
        <f t="shared" si="39"/>
        <v>1.66</v>
      </c>
      <c r="P143" s="323"/>
      <c r="Q143" s="329">
        <f t="shared" si="22"/>
        <v>1.66</v>
      </c>
      <c r="R143" s="345">
        <v>1.65</v>
      </c>
      <c r="S143" s="338">
        <f aca="true" t="shared" si="40" ref="S143:S206">R143/Q143*100</f>
        <v>99.3975903614458</v>
      </c>
    </row>
    <row r="144" spans="1:19" ht="12.75" hidden="1">
      <c r="A144" s="13" t="s">
        <v>241</v>
      </c>
      <c r="B144" s="60"/>
      <c r="C144" s="79"/>
      <c r="D144" s="186"/>
      <c r="E144" s="157"/>
      <c r="F144" s="78">
        <f t="shared" si="36"/>
        <v>0</v>
      </c>
      <c r="G144" s="142"/>
      <c r="H144" s="210"/>
      <c r="I144" s="124">
        <f t="shared" si="37"/>
        <v>0</v>
      </c>
      <c r="J144" s="142"/>
      <c r="K144" s="231"/>
      <c r="L144" s="279">
        <f t="shared" si="38"/>
        <v>0</v>
      </c>
      <c r="M144" s="225"/>
      <c r="N144" s="186"/>
      <c r="O144" s="293">
        <f t="shared" si="39"/>
        <v>0</v>
      </c>
      <c r="P144" s="323"/>
      <c r="Q144" s="329">
        <f t="shared" si="22"/>
        <v>0</v>
      </c>
      <c r="R144" s="345"/>
      <c r="S144" s="338" t="e">
        <f t="shared" si="40"/>
        <v>#DIV/0!</v>
      </c>
    </row>
    <row r="145" spans="1:19" ht="12.75" hidden="1">
      <c r="A145" s="13" t="s">
        <v>284</v>
      </c>
      <c r="B145" s="60">
        <v>13234</v>
      </c>
      <c r="C145" s="79"/>
      <c r="D145" s="186"/>
      <c r="E145" s="157"/>
      <c r="F145" s="78">
        <f t="shared" si="36"/>
        <v>0</v>
      </c>
      <c r="G145" s="142"/>
      <c r="H145" s="210"/>
      <c r="I145" s="124">
        <f t="shared" si="37"/>
        <v>0</v>
      </c>
      <c r="J145" s="142"/>
      <c r="K145" s="231"/>
      <c r="L145" s="279">
        <f t="shared" si="38"/>
        <v>0</v>
      </c>
      <c r="M145" s="225"/>
      <c r="N145" s="186"/>
      <c r="O145" s="293">
        <f t="shared" si="39"/>
        <v>0</v>
      </c>
      <c r="P145" s="323"/>
      <c r="Q145" s="329">
        <f t="shared" si="22"/>
        <v>0</v>
      </c>
      <c r="R145" s="345"/>
      <c r="S145" s="338" t="e">
        <f t="shared" si="40"/>
        <v>#DIV/0!</v>
      </c>
    </row>
    <row r="146" spans="1:19" ht="12.75">
      <c r="A146" s="13" t="s">
        <v>364</v>
      </c>
      <c r="B146" s="60">
        <v>13015</v>
      </c>
      <c r="C146" s="79"/>
      <c r="D146" s="186"/>
      <c r="E146" s="157"/>
      <c r="F146" s="78"/>
      <c r="G146" s="142"/>
      <c r="H146" s="210"/>
      <c r="I146" s="124">
        <f t="shared" si="37"/>
        <v>0</v>
      </c>
      <c r="J146" s="142">
        <v>1318.5</v>
      </c>
      <c r="K146" s="231"/>
      <c r="L146" s="279">
        <f t="shared" si="38"/>
        <v>1318.5</v>
      </c>
      <c r="M146" s="225"/>
      <c r="N146" s="186"/>
      <c r="O146" s="293">
        <f t="shared" si="39"/>
        <v>1318.5</v>
      </c>
      <c r="P146" s="323"/>
      <c r="Q146" s="329">
        <f t="shared" si="22"/>
        <v>1318.5</v>
      </c>
      <c r="R146" s="345">
        <v>1318.5</v>
      </c>
      <c r="S146" s="338">
        <f t="shared" si="40"/>
        <v>100</v>
      </c>
    </row>
    <row r="147" spans="1:19" ht="12.75" hidden="1">
      <c r="A147" s="13" t="s">
        <v>72</v>
      </c>
      <c r="B147" s="60"/>
      <c r="C147" s="79"/>
      <c r="D147" s="186"/>
      <c r="E147" s="157"/>
      <c r="F147" s="78">
        <f t="shared" si="36"/>
        <v>0</v>
      </c>
      <c r="G147" s="142"/>
      <c r="H147" s="210"/>
      <c r="I147" s="124">
        <f t="shared" si="37"/>
        <v>0</v>
      </c>
      <c r="J147" s="142"/>
      <c r="K147" s="231"/>
      <c r="L147" s="279">
        <f t="shared" si="38"/>
        <v>0</v>
      </c>
      <c r="M147" s="225"/>
      <c r="N147" s="186"/>
      <c r="O147" s="293">
        <f t="shared" si="39"/>
        <v>0</v>
      </c>
      <c r="P147" s="323"/>
      <c r="Q147" s="329">
        <f t="shared" si="22"/>
        <v>0</v>
      </c>
      <c r="R147" s="345"/>
      <c r="S147" s="338" t="e">
        <f t="shared" si="40"/>
        <v>#DIV/0!</v>
      </c>
    </row>
    <row r="148" spans="1:19" ht="12.75">
      <c r="A148" s="13" t="s">
        <v>73</v>
      </c>
      <c r="B148" s="60">
        <v>98074</v>
      </c>
      <c r="C148" s="79"/>
      <c r="D148" s="186"/>
      <c r="E148" s="157"/>
      <c r="F148" s="78">
        <f t="shared" si="36"/>
        <v>0</v>
      </c>
      <c r="G148" s="142"/>
      <c r="H148" s="210"/>
      <c r="I148" s="124">
        <f>F148+G148+H148</f>
        <v>0</v>
      </c>
      <c r="J148" s="142">
        <f>15</f>
        <v>15</v>
      </c>
      <c r="K148" s="231"/>
      <c r="L148" s="279">
        <f t="shared" si="38"/>
        <v>15</v>
      </c>
      <c r="M148" s="225"/>
      <c r="N148" s="186"/>
      <c r="O148" s="293">
        <f t="shared" si="39"/>
        <v>15</v>
      </c>
      <c r="P148" s="323"/>
      <c r="Q148" s="329">
        <f t="shared" si="22"/>
        <v>15</v>
      </c>
      <c r="R148" s="345">
        <v>12.46</v>
      </c>
      <c r="S148" s="338">
        <f t="shared" si="40"/>
        <v>83.06666666666668</v>
      </c>
    </row>
    <row r="149" spans="1:19" ht="12.75">
      <c r="A149" s="13" t="s">
        <v>377</v>
      </c>
      <c r="B149" s="60">
        <v>98193</v>
      </c>
      <c r="C149" s="79"/>
      <c r="D149" s="186"/>
      <c r="E149" s="157"/>
      <c r="F149" s="78">
        <f t="shared" si="36"/>
        <v>0</v>
      </c>
      <c r="G149" s="142"/>
      <c r="H149" s="210"/>
      <c r="I149" s="124">
        <f>F149+G149+H149</f>
        <v>0</v>
      </c>
      <c r="J149" s="142"/>
      <c r="K149" s="231"/>
      <c r="L149" s="279">
        <f t="shared" si="38"/>
        <v>0</v>
      </c>
      <c r="M149" s="225">
        <f>100</f>
        <v>100</v>
      </c>
      <c r="N149" s="186"/>
      <c r="O149" s="293">
        <f t="shared" si="39"/>
        <v>100</v>
      </c>
      <c r="P149" s="323"/>
      <c r="Q149" s="329">
        <f t="shared" si="22"/>
        <v>100</v>
      </c>
      <c r="R149" s="345">
        <v>70.54</v>
      </c>
      <c r="S149" s="338">
        <f t="shared" si="40"/>
        <v>70.54</v>
      </c>
    </row>
    <row r="150" spans="1:19" ht="12.75">
      <c r="A150" s="13" t="s">
        <v>74</v>
      </c>
      <c r="B150" s="60">
        <v>4001</v>
      </c>
      <c r="C150" s="79"/>
      <c r="D150" s="186"/>
      <c r="E150" s="157"/>
      <c r="F150" s="78">
        <f t="shared" si="36"/>
        <v>0</v>
      </c>
      <c r="G150" s="142">
        <f>242</f>
        <v>242</v>
      </c>
      <c r="H150" s="210"/>
      <c r="I150" s="124">
        <f>F150+G150+H150</f>
        <v>242</v>
      </c>
      <c r="J150" s="142"/>
      <c r="K150" s="231"/>
      <c r="L150" s="279">
        <f t="shared" si="38"/>
        <v>242</v>
      </c>
      <c r="M150" s="225"/>
      <c r="N150" s="186"/>
      <c r="O150" s="293">
        <f t="shared" si="39"/>
        <v>242</v>
      </c>
      <c r="P150" s="323"/>
      <c r="Q150" s="329">
        <f t="shared" si="22"/>
        <v>242</v>
      </c>
      <c r="R150" s="345">
        <v>227.33</v>
      </c>
      <c r="S150" s="338">
        <f t="shared" si="40"/>
        <v>93.93801652892563</v>
      </c>
    </row>
    <row r="151" spans="1:19" ht="12.75">
      <c r="A151" s="19" t="s">
        <v>65</v>
      </c>
      <c r="B151" s="64"/>
      <c r="C151" s="84">
        <f aca="true" t="shared" si="41" ref="C151:R151">C154+C153</f>
        <v>0</v>
      </c>
      <c r="D151" s="191">
        <f t="shared" si="41"/>
        <v>566.44</v>
      </c>
      <c r="E151" s="160">
        <f t="shared" si="41"/>
        <v>0</v>
      </c>
      <c r="F151" s="85">
        <f t="shared" si="41"/>
        <v>566.44</v>
      </c>
      <c r="G151" s="84">
        <f t="shared" si="41"/>
        <v>744.15</v>
      </c>
      <c r="H151" s="191">
        <f t="shared" si="41"/>
        <v>0</v>
      </c>
      <c r="I151" s="85">
        <f t="shared" si="41"/>
        <v>1310.5900000000001</v>
      </c>
      <c r="J151" s="146">
        <f t="shared" si="41"/>
        <v>744.15</v>
      </c>
      <c r="K151" s="235">
        <f t="shared" si="41"/>
        <v>0</v>
      </c>
      <c r="L151" s="282">
        <f t="shared" si="41"/>
        <v>2054.7400000000002</v>
      </c>
      <c r="M151" s="235">
        <f t="shared" si="41"/>
        <v>0</v>
      </c>
      <c r="N151" s="214">
        <f t="shared" si="41"/>
        <v>0</v>
      </c>
      <c r="O151" s="244">
        <f t="shared" si="41"/>
        <v>2054.7400000000002</v>
      </c>
      <c r="P151" s="84">
        <f t="shared" si="41"/>
        <v>0</v>
      </c>
      <c r="Q151" s="85">
        <f t="shared" si="41"/>
        <v>2054.7400000000002</v>
      </c>
      <c r="R151" s="349">
        <f t="shared" si="41"/>
        <v>0</v>
      </c>
      <c r="S151" s="344">
        <f t="shared" si="40"/>
        <v>0</v>
      </c>
    </row>
    <row r="152" spans="1:19" ht="12.75">
      <c r="A152" s="15" t="s">
        <v>31</v>
      </c>
      <c r="B152" s="60"/>
      <c r="C152" s="79"/>
      <c r="D152" s="186"/>
      <c r="E152" s="157"/>
      <c r="F152" s="77"/>
      <c r="G152" s="142"/>
      <c r="H152" s="210"/>
      <c r="I152" s="123"/>
      <c r="J152" s="142"/>
      <c r="K152" s="231"/>
      <c r="L152" s="217"/>
      <c r="M152" s="225"/>
      <c r="N152" s="186"/>
      <c r="O152" s="292"/>
      <c r="P152" s="323"/>
      <c r="Q152" s="329"/>
      <c r="R152" s="345"/>
      <c r="S152" s="338"/>
    </row>
    <row r="153" spans="1:19" ht="12.75" hidden="1">
      <c r="A153" s="12" t="s">
        <v>66</v>
      </c>
      <c r="B153" s="60"/>
      <c r="C153" s="79"/>
      <c r="D153" s="186"/>
      <c r="E153" s="161"/>
      <c r="F153" s="78">
        <f>C153+D153+E153</f>
        <v>0</v>
      </c>
      <c r="G153" s="142"/>
      <c r="H153" s="210"/>
      <c r="I153" s="124">
        <f>F153+G153+H153</f>
        <v>0</v>
      </c>
      <c r="J153" s="142"/>
      <c r="K153" s="231"/>
      <c r="L153" s="279">
        <f>I153+J153+K153</f>
        <v>0</v>
      </c>
      <c r="M153" s="225"/>
      <c r="N153" s="186"/>
      <c r="O153" s="293">
        <f>L153+M153+N153</f>
        <v>0</v>
      </c>
      <c r="P153" s="323"/>
      <c r="Q153" s="329">
        <f t="shared" si="22"/>
        <v>0</v>
      </c>
      <c r="R153" s="345"/>
      <c r="S153" s="338" t="e">
        <f t="shared" si="40"/>
        <v>#DIV/0!</v>
      </c>
    </row>
    <row r="154" spans="1:19" ht="12.75">
      <c r="A154" s="16" t="s">
        <v>93</v>
      </c>
      <c r="B154" s="63"/>
      <c r="C154" s="86"/>
      <c r="D154" s="193">
        <f>566.44</f>
        <v>566.44</v>
      </c>
      <c r="E154" s="161"/>
      <c r="F154" s="112">
        <f>C154+D154+E154</f>
        <v>566.44</v>
      </c>
      <c r="G154" s="136">
        <f>744.15</f>
        <v>744.15</v>
      </c>
      <c r="H154" s="215"/>
      <c r="I154" s="129">
        <f>F154+G154+H154</f>
        <v>1310.5900000000001</v>
      </c>
      <c r="J154" s="136">
        <f>744.15</f>
        <v>744.15</v>
      </c>
      <c r="K154" s="233"/>
      <c r="L154" s="315">
        <f>I154+J154+K154</f>
        <v>2054.7400000000002</v>
      </c>
      <c r="M154" s="274"/>
      <c r="N154" s="193"/>
      <c r="O154" s="295">
        <f>L154+M154+N154</f>
        <v>2054.7400000000002</v>
      </c>
      <c r="P154" s="326"/>
      <c r="Q154" s="330">
        <f t="shared" si="22"/>
        <v>2054.7400000000002</v>
      </c>
      <c r="R154" s="351"/>
      <c r="S154" s="368" t="s">
        <v>400</v>
      </c>
    </row>
    <row r="155" spans="1:19" ht="12.75">
      <c r="A155" s="10" t="s">
        <v>75</v>
      </c>
      <c r="B155" s="64"/>
      <c r="C155" s="75">
        <f aca="true" t="shared" si="42" ref="C155:O155">C156+C165</f>
        <v>63980</v>
      </c>
      <c r="D155" s="185">
        <f t="shared" si="42"/>
        <v>16514.77</v>
      </c>
      <c r="E155" s="156">
        <f t="shared" si="42"/>
        <v>0</v>
      </c>
      <c r="F155" s="77">
        <f t="shared" si="42"/>
        <v>80494.77</v>
      </c>
      <c r="G155" s="75">
        <f t="shared" si="42"/>
        <v>9027.47</v>
      </c>
      <c r="H155" s="185">
        <f t="shared" si="42"/>
        <v>14608.17</v>
      </c>
      <c r="I155" s="77">
        <f t="shared" si="42"/>
        <v>104130.41</v>
      </c>
      <c r="J155" s="141">
        <f t="shared" si="42"/>
        <v>15190.78</v>
      </c>
      <c r="K155" s="230">
        <f t="shared" si="42"/>
        <v>0</v>
      </c>
      <c r="L155" s="217">
        <f t="shared" si="42"/>
        <v>119321.18999999999</v>
      </c>
      <c r="M155" s="230">
        <f t="shared" si="42"/>
        <v>10133.9</v>
      </c>
      <c r="N155" s="209">
        <f t="shared" si="42"/>
        <v>0</v>
      </c>
      <c r="O155" s="228">
        <f t="shared" si="42"/>
        <v>129455.08999999998</v>
      </c>
      <c r="P155" s="75">
        <f>P156+P165</f>
        <v>41.15</v>
      </c>
      <c r="Q155" s="77">
        <f>Q156+Q165</f>
        <v>129496.23999999999</v>
      </c>
      <c r="R155" s="346">
        <f>R156+R165</f>
        <v>65083.810000000005</v>
      </c>
      <c r="S155" s="337">
        <f t="shared" si="40"/>
        <v>50.259227603828506</v>
      </c>
    </row>
    <row r="156" spans="1:19" ht="12.75">
      <c r="A156" s="19" t="s">
        <v>59</v>
      </c>
      <c r="B156" s="64"/>
      <c r="C156" s="84">
        <f aca="true" t="shared" si="43" ref="C156:O156">SUM(C158:C163)</f>
        <v>18980</v>
      </c>
      <c r="D156" s="191">
        <f t="shared" si="43"/>
        <v>1514.77</v>
      </c>
      <c r="E156" s="160">
        <f t="shared" si="43"/>
        <v>585.03</v>
      </c>
      <c r="F156" s="85">
        <f t="shared" si="43"/>
        <v>21079.8</v>
      </c>
      <c r="G156" s="84">
        <f t="shared" si="43"/>
        <v>-972.53</v>
      </c>
      <c r="H156" s="191">
        <f t="shared" si="43"/>
        <v>1716.69</v>
      </c>
      <c r="I156" s="85">
        <f t="shared" si="43"/>
        <v>21823.960000000003</v>
      </c>
      <c r="J156" s="146">
        <f t="shared" si="43"/>
        <v>190.78</v>
      </c>
      <c r="K156" s="235">
        <f t="shared" si="43"/>
        <v>158.15</v>
      </c>
      <c r="L156" s="282">
        <f t="shared" si="43"/>
        <v>22172.889999999996</v>
      </c>
      <c r="M156" s="235">
        <f t="shared" si="43"/>
        <v>133.9</v>
      </c>
      <c r="N156" s="214">
        <f t="shared" si="43"/>
        <v>0</v>
      </c>
      <c r="O156" s="244">
        <f t="shared" si="43"/>
        <v>22306.789999999997</v>
      </c>
      <c r="P156" s="84">
        <f>SUM(P158:P163)</f>
        <v>41.15</v>
      </c>
      <c r="Q156" s="85">
        <f>SUM(Q158:Q163)</f>
        <v>22347.94</v>
      </c>
      <c r="R156" s="349">
        <f>SUM(R158:R163)</f>
        <v>15863.82</v>
      </c>
      <c r="S156" s="344">
        <f t="shared" si="40"/>
        <v>70.9856031473147</v>
      </c>
    </row>
    <row r="157" spans="1:19" ht="12.75">
      <c r="A157" s="15" t="s">
        <v>31</v>
      </c>
      <c r="B157" s="60"/>
      <c r="C157" s="79"/>
      <c r="D157" s="186"/>
      <c r="E157" s="157"/>
      <c r="F157" s="77"/>
      <c r="G157" s="142"/>
      <c r="H157" s="210"/>
      <c r="I157" s="123"/>
      <c r="J157" s="142"/>
      <c r="K157" s="231"/>
      <c r="L157" s="217"/>
      <c r="M157" s="225"/>
      <c r="N157" s="186"/>
      <c r="O157" s="292"/>
      <c r="P157" s="323"/>
      <c r="Q157" s="329"/>
      <c r="R157" s="345"/>
      <c r="S157" s="338"/>
    </row>
    <row r="158" spans="1:19" ht="12.75">
      <c r="A158" s="13" t="s">
        <v>62</v>
      </c>
      <c r="B158" s="60"/>
      <c r="C158" s="79">
        <v>18980</v>
      </c>
      <c r="D158" s="186">
        <f>1500</f>
        <v>1500</v>
      </c>
      <c r="E158" s="157"/>
      <c r="F158" s="78">
        <f aca="true" t="shared" si="44" ref="F158:F164">C158+D158+E158</f>
        <v>20480</v>
      </c>
      <c r="G158" s="142">
        <f>-1500</f>
        <v>-1500</v>
      </c>
      <c r="H158" s="210">
        <f>-910-300</f>
        <v>-1210</v>
      </c>
      <c r="I158" s="124">
        <f aca="true" t="shared" si="45" ref="I158:I164">F158+G158+H158</f>
        <v>17770</v>
      </c>
      <c r="J158" s="142">
        <f>-1678.79</f>
        <v>-1678.79</v>
      </c>
      <c r="K158" s="231"/>
      <c r="L158" s="279">
        <f aca="true" t="shared" si="46" ref="L158:L164">I158+J158+K158</f>
        <v>16091.21</v>
      </c>
      <c r="M158" s="225"/>
      <c r="N158" s="186"/>
      <c r="O158" s="293">
        <f aca="true" t="shared" si="47" ref="O158:O164">L158+M158+N158</f>
        <v>16091.21</v>
      </c>
      <c r="P158" s="323"/>
      <c r="Q158" s="329">
        <f t="shared" si="22"/>
        <v>16091.21</v>
      </c>
      <c r="R158" s="345">
        <v>12658.91</v>
      </c>
      <c r="S158" s="338">
        <f t="shared" si="40"/>
        <v>78.66972092216807</v>
      </c>
    </row>
    <row r="159" spans="1:19" ht="12.75">
      <c r="A159" s="13" t="s">
        <v>77</v>
      </c>
      <c r="B159" s="60"/>
      <c r="C159" s="79"/>
      <c r="D159" s="186"/>
      <c r="E159" s="157"/>
      <c r="F159" s="78">
        <f t="shared" si="44"/>
        <v>0</v>
      </c>
      <c r="G159" s="142"/>
      <c r="H159" s="210">
        <f>99</f>
        <v>99</v>
      </c>
      <c r="I159" s="124">
        <f t="shared" si="45"/>
        <v>99</v>
      </c>
      <c r="J159" s="142">
        <f>1678.79</f>
        <v>1678.79</v>
      </c>
      <c r="K159" s="231"/>
      <c r="L159" s="279">
        <f t="shared" si="46"/>
        <v>1777.79</v>
      </c>
      <c r="M159" s="225"/>
      <c r="N159" s="186"/>
      <c r="O159" s="293">
        <f t="shared" si="47"/>
        <v>1777.79</v>
      </c>
      <c r="P159" s="323"/>
      <c r="Q159" s="329">
        <f t="shared" si="22"/>
        <v>1777.79</v>
      </c>
      <c r="R159" s="345">
        <v>1777.73</v>
      </c>
      <c r="S159" s="338">
        <f t="shared" si="40"/>
        <v>99.99662502320297</v>
      </c>
    </row>
    <row r="160" spans="1:19" ht="12.75">
      <c r="A160" s="13" t="s">
        <v>78</v>
      </c>
      <c r="B160" s="60">
        <v>98278</v>
      </c>
      <c r="C160" s="79"/>
      <c r="D160" s="186">
        <f>14.77</f>
        <v>14.77</v>
      </c>
      <c r="E160" s="157"/>
      <c r="F160" s="78">
        <f t="shared" si="44"/>
        <v>14.77</v>
      </c>
      <c r="G160" s="142">
        <f>12.64+18.25</f>
        <v>30.89</v>
      </c>
      <c r="H160" s="210"/>
      <c r="I160" s="124">
        <f t="shared" si="45"/>
        <v>45.66</v>
      </c>
      <c r="J160" s="142">
        <f>6.98+36.92+2.5+9+19.58+12+15+9+14.59+1.5+8.53</f>
        <v>135.6</v>
      </c>
      <c r="K160" s="231"/>
      <c r="L160" s="279">
        <f>I160+J160+K160</f>
        <v>181.26</v>
      </c>
      <c r="M160" s="225">
        <f>107.4+8.5+3+3+12</f>
        <v>133.9</v>
      </c>
      <c r="N160" s="186"/>
      <c r="O160" s="293">
        <f t="shared" si="47"/>
        <v>315.15999999999997</v>
      </c>
      <c r="P160" s="323">
        <f>8+9+17+7.15</f>
        <v>41.15</v>
      </c>
      <c r="Q160" s="329">
        <f t="shared" si="22"/>
        <v>356.30999999999995</v>
      </c>
      <c r="R160" s="345">
        <v>356.31</v>
      </c>
      <c r="S160" s="338">
        <f t="shared" si="40"/>
        <v>100.00000000000003</v>
      </c>
    </row>
    <row r="161" spans="1:19" ht="12.75">
      <c r="A161" s="22" t="s">
        <v>348</v>
      </c>
      <c r="B161" s="60"/>
      <c r="C161" s="79"/>
      <c r="D161" s="186"/>
      <c r="E161" s="157"/>
      <c r="F161" s="78">
        <f t="shared" si="44"/>
        <v>0</v>
      </c>
      <c r="G161" s="142">
        <f>496.58</f>
        <v>496.58</v>
      </c>
      <c r="H161" s="210"/>
      <c r="I161" s="124">
        <f t="shared" si="45"/>
        <v>496.58</v>
      </c>
      <c r="J161" s="142">
        <f>55.18</f>
        <v>55.18</v>
      </c>
      <c r="K161" s="231"/>
      <c r="L161" s="279">
        <f t="shared" si="46"/>
        <v>551.76</v>
      </c>
      <c r="M161" s="225"/>
      <c r="N161" s="186"/>
      <c r="O161" s="293">
        <f t="shared" si="47"/>
        <v>551.76</v>
      </c>
      <c r="P161" s="323"/>
      <c r="Q161" s="329">
        <f t="shared" si="22"/>
        <v>551.76</v>
      </c>
      <c r="R161" s="345"/>
      <c r="S161" s="361" t="s">
        <v>400</v>
      </c>
    </row>
    <row r="162" spans="1:19" ht="12.75" hidden="1">
      <c r="A162" s="13" t="s">
        <v>92</v>
      </c>
      <c r="B162" s="60"/>
      <c r="C162" s="79"/>
      <c r="D162" s="186"/>
      <c r="E162" s="157"/>
      <c r="F162" s="78">
        <f t="shared" si="44"/>
        <v>0</v>
      </c>
      <c r="G162" s="142"/>
      <c r="H162" s="210"/>
      <c r="I162" s="124">
        <f t="shared" si="45"/>
        <v>0</v>
      </c>
      <c r="J162" s="142"/>
      <c r="K162" s="231"/>
      <c r="L162" s="279">
        <f t="shared" si="46"/>
        <v>0</v>
      </c>
      <c r="M162" s="225"/>
      <c r="N162" s="186"/>
      <c r="O162" s="293">
        <f t="shared" si="47"/>
        <v>0</v>
      </c>
      <c r="P162" s="323"/>
      <c r="Q162" s="329">
        <f>O162+P162</f>
        <v>0</v>
      </c>
      <c r="R162" s="345"/>
      <c r="S162" s="338" t="e">
        <f t="shared" si="40"/>
        <v>#DIV/0!</v>
      </c>
    </row>
    <row r="163" spans="1:19" ht="12.75">
      <c r="A163" s="12" t="s">
        <v>79</v>
      </c>
      <c r="B163" s="60"/>
      <c r="C163" s="79"/>
      <c r="D163" s="186"/>
      <c r="E163" s="157">
        <f>585.03</f>
        <v>585.03</v>
      </c>
      <c r="F163" s="78">
        <f t="shared" si="44"/>
        <v>585.03</v>
      </c>
      <c r="G163" s="142"/>
      <c r="H163" s="210">
        <f>327.69+2500</f>
        <v>2827.69</v>
      </c>
      <c r="I163" s="124">
        <f t="shared" si="45"/>
        <v>3412.7200000000003</v>
      </c>
      <c r="J163" s="142"/>
      <c r="K163" s="231">
        <f>158.15</f>
        <v>158.15</v>
      </c>
      <c r="L163" s="279">
        <f t="shared" si="46"/>
        <v>3570.8700000000003</v>
      </c>
      <c r="M163" s="225"/>
      <c r="N163" s="186"/>
      <c r="O163" s="293">
        <f t="shared" si="47"/>
        <v>3570.8700000000003</v>
      </c>
      <c r="P163" s="323"/>
      <c r="Q163" s="329">
        <f>O163+P163</f>
        <v>3570.8700000000003</v>
      </c>
      <c r="R163" s="345">
        <v>1070.87</v>
      </c>
      <c r="S163" s="338">
        <f t="shared" si="40"/>
        <v>29.989050287464952</v>
      </c>
    </row>
    <row r="164" spans="1:19" ht="12.75">
      <c r="A164" s="12" t="s">
        <v>80</v>
      </c>
      <c r="B164" s="60"/>
      <c r="C164" s="79"/>
      <c r="D164" s="186"/>
      <c r="E164" s="157">
        <v>585.03</v>
      </c>
      <c r="F164" s="78">
        <f t="shared" si="44"/>
        <v>585.03</v>
      </c>
      <c r="G164" s="142"/>
      <c r="H164" s="210">
        <f>327.69+2500</f>
        <v>2827.69</v>
      </c>
      <c r="I164" s="124">
        <f t="shared" si="45"/>
        <v>3412.7200000000003</v>
      </c>
      <c r="J164" s="142"/>
      <c r="K164" s="231">
        <f>158.15</f>
        <v>158.15</v>
      </c>
      <c r="L164" s="279">
        <f t="shared" si="46"/>
        <v>3570.8700000000003</v>
      </c>
      <c r="M164" s="225"/>
      <c r="N164" s="186"/>
      <c r="O164" s="293">
        <f t="shared" si="47"/>
        <v>3570.8700000000003</v>
      </c>
      <c r="P164" s="323"/>
      <c r="Q164" s="329">
        <f aca="true" t="shared" si="48" ref="Q164:Q225">O164+P164</f>
        <v>3570.8700000000003</v>
      </c>
      <c r="R164" s="345">
        <v>1070.87</v>
      </c>
      <c r="S164" s="338">
        <f t="shared" si="40"/>
        <v>29.989050287464952</v>
      </c>
    </row>
    <row r="165" spans="1:19" ht="12.75">
      <c r="A165" s="20" t="s">
        <v>65</v>
      </c>
      <c r="B165" s="64"/>
      <c r="C165" s="87">
        <f aca="true" t="shared" si="49" ref="C165:R165">SUM(C167:C170)</f>
        <v>45000</v>
      </c>
      <c r="D165" s="192">
        <f t="shared" si="49"/>
        <v>15000</v>
      </c>
      <c r="E165" s="162">
        <f t="shared" si="49"/>
        <v>-585.03</v>
      </c>
      <c r="F165" s="88">
        <f t="shared" si="49"/>
        <v>59414.97</v>
      </c>
      <c r="G165" s="87">
        <f t="shared" si="49"/>
        <v>10000</v>
      </c>
      <c r="H165" s="192">
        <f t="shared" si="49"/>
        <v>12891.48</v>
      </c>
      <c r="I165" s="88">
        <f t="shared" si="49"/>
        <v>82306.45</v>
      </c>
      <c r="J165" s="263">
        <f t="shared" si="49"/>
        <v>15000</v>
      </c>
      <c r="K165" s="256">
        <f t="shared" si="49"/>
        <v>-158.15</v>
      </c>
      <c r="L165" s="283">
        <f t="shared" si="49"/>
        <v>97148.29999999999</v>
      </c>
      <c r="M165" s="256">
        <f t="shared" si="49"/>
        <v>10000</v>
      </c>
      <c r="N165" s="303">
        <f t="shared" si="49"/>
        <v>0</v>
      </c>
      <c r="O165" s="245">
        <f t="shared" si="49"/>
        <v>107148.29999999999</v>
      </c>
      <c r="P165" s="87">
        <f t="shared" si="49"/>
        <v>0</v>
      </c>
      <c r="Q165" s="88">
        <f t="shared" si="49"/>
        <v>107148.29999999999</v>
      </c>
      <c r="R165" s="350">
        <f t="shared" si="49"/>
        <v>49219.990000000005</v>
      </c>
      <c r="S165" s="344">
        <f t="shared" si="40"/>
        <v>45.93632376808593</v>
      </c>
    </row>
    <row r="166" spans="1:19" ht="12.75">
      <c r="A166" s="11" t="s">
        <v>31</v>
      </c>
      <c r="B166" s="60"/>
      <c r="C166" s="80"/>
      <c r="D166" s="189"/>
      <c r="E166" s="158"/>
      <c r="F166" s="81"/>
      <c r="G166" s="144"/>
      <c r="H166" s="212"/>
      <c r="I166" s="125"/>
      <c r="J166" s="144"/>
      <c r="K166" s="232"/>
      <c r="L166" s="280"/>
      <c r="M166" s="272"/>
      <c r="N166" s="189"/>
      <c r="O166" s="294"/>
      <c r="P166" s="323"/>
      <c r="Q166" s="329"/>
      <c r="R166" s="345"/>
      <c r="S166" s="338"/>
    </row>
    <row r="167" spans="1:19" ht="12.75">
      <c r="A167" s="12" t="s">
        <v>81</v>
      </c>
      <c r="B167" s="60"/>
      <c r="C167" s="79"/>
      <c r="D167" s="186">
        <f>15000</f>
        <v>15000</v>
      </c>
      <c r="E167" s="157"/>
      <c r="F167" s="78">
        <f>C167+D167+E167</f>
        <v>15000</v>
      </c>
      <c r="G167" s="142">
        <f>10000</f>
        <v>10000</v>
      </c>
      <c r="H167" s="210">
        <f>811</f>
        <v>811</v>
      </c>
      <c r="I167" s="124">
        <f>F167+G167+H167</f>
        <v>25811</v>
      </c>
      <c r="J167" s="142">
        <f>15000</f>
        <v>15000</v>
      </c>
      <c r="K167" s="231"/>
      <c r="L167" s="279">
        <f>I167+J167+K167</f>
        <v>40811</v>
      </c>
      <c r="M167" s="225">
        <f>10000</f>
        <v>10000</v>
      </c>
      <c r="N167" s="186">
        <v>-4900</v>
      </c>
      <c r="O167" s="293">
        <f>L167+M167+N167</f>
        <v>45911</v>
      </c>
      <c r="P167" s="323"/>
      <c r="Q167" s="329">
        <f t="shared" si="48"/>
        <v>45911</v>
      </c>
      <c r="R167" s="345">
        <v>28585.58</v>
      </c>
      <c r="S167" s="338">
        <f t="shared" si="40"/>
        <v>62.263030646250364</v>
      </c>
    </row>
    <row r="168" spans="1:19" ht="12.75">
      <c r="A168" s="12" t="s">
        <v>66</v>
      </c>
      <c r="B168" s="60"/>
      <c r="C168" s="79"/>
      <c r="D168" s="186"/>
      <c r="E168" s="157"/>
      <c r="F168" s="78">
        <f>C168+D168+E168</f>
        <v>0</v>
      </c>
      <c r="G168" s="142"/>
      <c r="H168" s="210"/>
      <c r="I168" s="124"/>
      <c r="J168" s="142"/>
      <c r="K168" s="231"/>
      <c r="L168" s="279"/>
      <c r="M168" s="225"/>
      <c r="N168" s="186">
        <v>4900</v>
      </c>
      <c r="O168" s="293">
        <f>L168+M168+N168</f>
        <v>4900</v>
      </c>
      <c r="P168" s="323"/>
      <c r="Q168" s="329">
        <f t="shared" si="48"/>
        <v>4900</v>
      </c>
      <c r="R168" s="345"/>
      <c r="S168" s="361" t="s">
        <v>400</v>
      </c>
    </row>
    <row r="169" spans="1:19" ht="12.75" hidden="1">
      <c r="A169" s="13" t="s">
        <v>92</v>
      </c>
      <c r="B169" s="60"/>
      <c r="C169" s="79"/>
      <c r="D169" s="186"/>
      <c r="E169" s="157"/>
      <c r="F169" s="78">
        <f>C169+D169+E169</f>
        <v>0</v>
      </c>
      <c r="G169" s="142"/>
      <c r="H169" s="210"/>
      <c r="I169" s="124">
        <f>F169+G169+H169</f>
        <v>0</v>
      </c>
      <c r="J169" s="142"/>
      <c r="K169" s="231"/>
      <c r="L169" s="279">
        <f>I169+J169+K169</f>
        <v>0</v>
      </c>
      <c r="M169" s="225"/>
      <c r="N169" s="186"/>
      <c r="O169" s="293">
        <f>L169+M169+N169</f>
        <v>0</v>
      </c>
      <c r="P169" s="323"/>
      <c r="Q169" s="329">
        <f t="shared" si="48"/>
        <v>0</v>
      </c>
      <c r="R169" s="345"/>
      <c r="S169" s="338" t="e">
        <f t="shared" si="40"/>
        <v>#DIV/0!</v>
      </c>
    </row>
    <row r="170" spans="1:19" ht="12.75">
      <c r="A170" s="12" t="s">
        <v>79</v>
      </c>
      <c r="B170" s="60"/>
      <c r="C170" s="79">
        <v>45000</v>
      </c>
      <c r="D170" s="186"/>
      <c r="E170" s="157">
        <f>-585.03</f>
        <v>-585.03</v>
      </c>
      <c r="F170" s="78">
        <f>C170+D170+E170</f>
        <v>44414.97</v>
      </c>
      <c r="G170" s="142"/>
      <c r="H170" s="210">
        <f>-327.69-2500+14908.17</f>
        <v>12080.48</v>
      </c>
      <c r="I170" s="124">
        <f>F170+G170+H170</f>
        <v>56495.45</v>
      </c>
      <c r="J170" s="142"/>
      <c r="K170" s="231">
        <f>-158.15</f>
        <v>-158.15</v>
      </c>
      <c r="L170" s="279">
        <f>I170+J170+K170</f>
        <v>56337.299999999996</v>
      </c>
      <c r="M170" s="225"/>
      <c r="N170" s="186"/>
      <c r="O170" s="293">
        <f>L170+M170+N170</f>
        <v>56337.299999999996</v>
      </c>
      <c r="P170" s="323"/>
      <c r="Q170" s="329">
        <f t="shared" si="48"/>
        <v>56337.299999999996</v>
      </c>
      <c r="R170" s="345">
        <v>20634.41</v>
      </c>
      <c r="S170" s="338">
        <f t="shared" si="40"/>
        <v>36.62655114817359</v>
      </c>
    </row>
    <row r="171" spans="1:19" ht="12.75">
      <c r="A171" s="21" t="s">
        <v>82</v>
      </c>
      <c r="B171" s="63"/>
      <c r="C171" s="86"/>
      <c r="D171" s="193"/>
      <c r="E171" s="161">
        <v>5470</v>
      </c>
      <c r="F171" s="112">
        <f>C171+D171+E171</f>
        <v>5470</v>
      </c>
      <c r="G171" s="136"/>
      <c r="H171" s="215">
        <f>9500</f>
        <v>9500</v>
      </c>
      <c r="I171" s="129">
        <f>F171+G171+H171</f>
        <v>14970</v>
      </c>
      <c r="J171" s="136">
        <f>4704</f>
        <v>4704</v>
      </c>
      <c r="K171" s="233">
        <f>11893+315.21</f>
        <v>12208.21</v>
      </c>
      <c r="L171" s="315">
        <f>I171+J171+K171</f>
        <v>31882.21</v>
      </c>
      <c r="M171" s="274"/>
      <c r="N171" s="193"/>
      <c r="O171" s="295">
        <f>L171+M171+N171</f>
        <v>31882.21</v>
      </c>
      <c r="P171" s="326"/>
      <c r="Q171" s="330">
        <f t="shared" si="48"/>
        <v>31882.21</v>
      </c>
      <c r="R171" s="351">
        <v>20634.41</v>
      </c>
      <c r="S171" s="340">
        <f t="shared" si="40"/>
        <v>64.72076433848218</v>
      </c>
    </row>
    <row r="172" spans="1:19" ht="12.75">
      <c r="A172" s="14" t="s">
        <v>83</v>
      </c>
      <c r="B172" s="64"/>
      <c r="C172" s="80">
        <f aca="true" t="shared" si="50" ref="C172:O172">C173+C178</f>
        <v>7660</v>
      </c>
      <c r="D172" s="189">
        <f t="shared" si="50"/>
        <v>3519.32</v>
      </c>
      <c r="E172" s="158">
        <f t="shared" si="50"/>
        <v>0</v>
      </c>
      <c r="F172" s="81">
        <f t="shared" si="50"/>
        <v>11179.32</v>
      </c>
      <c r="G172" s="80">
        <f t="shared" si="50"/>
        <v>216</v>
      </c>
      <c r="H172" s="189">
        <f t="shared" si="50"/>
        <v>0</v>
      </c>
      <c r="I172" s="81">
        <f t="shared" si="50"/>
        <v>11395.32</v>
      </c>
      <c r="J172" s="144">
        <f t="shared" si="50"/>
        <v>-250</v>
      </c>
      <c r="K172" s="232">
        <f t="shared" si="50"/>
        <v>0</v>
      </c>
      <c r="L172" s="280">
        <f t="shared" si="50"/>
        <v>11145.32</v>
      </c>
      <c r="M172" s="232">
        <f t="shared" si="50"/>
        <v>0</v>
      </c>
      <c r="N172" s="212">
        <f t="shared" si="50"/>
        <v>0</v>
      </c>
      <c r="O172" s="242">
        <f t="shared" si="50"/>
        <v>11145.32</v>
      </c>
      <c r="P172" s="80">
        <f>P173+P178</f>
        <v>0</v>
      </c>
      <c r="Q172" s="81">
        <f>Q173+Q178</f>
        <v>11145.32</v>
      </c>
      <c r="R172" s="347">
        <f>R173+R178</f>
        <v>8882.66</v>
      </c>
      <c r="S172" s="337">
        <f t="shared" si="40"/>
        <v>79.69856406096909</v>
      </c>
    </row>
    <row r="173" spans="1:19" ht="12.75">
      <c r="A173" s="19" t="s">
        <v>59</v>
      </c>
      <c r="B173" s="64"/>
      <c r="C173" s="84">
        <f aca="true" t="shared" si="51" ref="C173:O173">SUM(C175:C177)</f>
        <v>7660</v>
      </c>
      <c r="D173" s="191">
        <f t="shared" si="51"/>
        <v>3519.32</v>
      </c>
      <c r="E173" s="160">
        <f t="shared" si="51"/>
        <v>-200</v>
      </c>
      <c r="F173" s="85">
        <f t="shared" si="51"/>
        <v>10979.32</v>
      </c>
      <c r="G173" s="84">
        <f t="shared" si="51"/>
        <v>216</v>
      </c>
      <c r="H173" s="191">
        <f t="shared" si="51"/>
        <v>-60</v>
      </c>
      <c r="I173" s="85">
        <f t="shared" si="51"/>
        <v>11135.32</v>
      </c>
      <c r="J173" s="146">
        <f t="shared" si="51"/>
        <v>-250</v>
      </c>
      <c r="K173" s="235">
        <f t="shared" si="51"/>
        <v>0</v>
      </c>
      <c r="L173" s="282">
        <f t="shared" si="51"/>
        <v>10885.32</v>
      </c>
      <c r="M173" s="235">
        <f t="shared" si="51"/>
        <v>0</v>
      </c>
      <c r="N173" s="214">
        <f t="shared" si="51"/>
        <v>0</v>
      </c>
      <c r="O173" s="244">
        <f t="shared" si="51"/>
        <v>10885.32</v>
      </c>
      <c r="P173" s="84">
        <f>SUM(P175:P177)</f>
        <v>0</v>
      </c>
      <c r="Q173" s="85">
        <f>SUM(Q175:Q177)</f>
        <v>10885.32</v>
      </c>
      <c r="R173" s="349">
        <f>SUM(R175:R177)</f>
        <v>8682.66</v>
      </c>
      <c r="S173" s="344">
        <f t="shared" si="40"/>
        <v>79.76485762476436</v>
      </c>
    </row>
    <row r="174" spans="1:19" ht="12.75">
      <c r="A174" s="15" t="s">
        <v>31</v>
      </c>
      <c r="B174" s="60"/>
      <c r="C174" s="79"/>
      <c r="D174" s="186"/>
      <c r="E174" s="157"/>
      <c r="F174" s="77"/>
      <c r="G174" s="142"/>
      <c r="H174" s="210"/>
      <c r="I174" s="123"/>
      <c r="J174" s="142"/>
      <c r="K174" s="231"/>
      <c r="L174" s="217"/>
      <c r="M174" s="225"/>
      <c r="N174" s="186"/>
      <c r="O174" s="292"/>
      <c r="P174" s="323"/>
      <c r="Q174" s="329"/>
      <c r="R174" s="345"/>
      <c r="S174" s="338"/>
    </row>
    <row r="175" spans="1:19" ht="12.75">
      <c r="A175" s="13" t="s">
        <v>62</v>
      </c>
      <c r="B175" s="60"/>
      <c r="C175" s="79">
        <v>7660</v>
      </c>
      <c r="D175" s="186">
        <f>2146.32</f>
        <v>2146.32</v>
      </c>
      <c r="E175" s="157">
        <f>-200</f>
        <v>-200</v>
      </c>
      <c r="F175" s="78">
        <f>C175+D175+E175</f>
        <v>9606.32</v>
      </c>
      <c r="G175" s="142">
        <f>-100</f>
        <v>-100</v>
      </c>
      <c r="H175" s="210">
        <f>-60-80</f>
        <v>-140</v>
      </c>
      <c r="I175" s="124">
        <f>SUM(F175:H175)</f>
        <v>9366.32</v>
      </c>
      <c r="J175" s="142">
        <f>80-70-250</f>
        <v>-240</v>
      </c>
      <c r="K175" s="231"/>
      <c r="L175" s="279">
        <f>I175+J175+K175</f>
        <v>9126.32</v>
      </c>
      <c r="M175" s="225"/>
      <c r="N175" s="186"/>
      <c r="O175" s="293">
        <f>L175+M175+N175</f>
        <v>9126.32</v>
      </c>
      <c r="P175" s="323"/>
      <c r="Q175" s="329">
        <f t="shared" si="48"/>
        <v>9126.32</v>
      </c>
      <c r="R175" s="345">
        <v>6923.66</v>
      </c>
      <c r="S175" s="338">
        <f t="shared" si="40"/>
        <v>75.86475161949176</v>
      </c>
    </row>
    <row r="176" spans="1:19" ht="12.75">
      <c r="A176" s="17" t="s">
        <v>84</v>
      </c>
      <c r="B176" s="60">
        <v>33166</v>
      </c>
      <c r="C176" s="79"/>
      <c r="D176" s="186">
        <f>1373</f>
        <v>1373</v>
      </c>
      <c r="E176" s="157"/>
      <c r="F176" s="78">
        <f>C176+D176+E176</f>
        <v>1373</v>
      </c>
      <c r="G176" s="142">
        <f>216</f>
        <v>216</v>
      </c>
      <c r="H176" s="210"/>
      <c r="I176" s="124">
        <f>SUM(F176:H176)</f>
        <v>1589</v>
      </c>
      <c r="J176" s="142"/>
      <c r="K176" s="231"/>
      <c r="L176" s="279">
        <f>I176+J176+K176</f>
        <v>1589</v>
      </c>
      <c r="M176" s="225"/>
      <c r="N176" s="186"/>
      <c r="O176" s="293">
        <f>L176+M176+N176</f>
        <v>1589</v>
      </c>
      <c r="P176" s="323"/>
      <c r="Q176" s="329">
        <f t="shared" si="48"/>
        <v>1589</v>
      </c>
      <c r="R176" s="345">
        <v>1589</v>
      </c>
      <c r="S176" s="338">
        <f t="shared" si="40"/>
        <v>100</v>
      </c>
    </row>
    <row r="177" spans="1:19" ht="12.75">
      <c r="A177" s="17" t="s">
        <v>77</v>
      </c>
      <c r="B177" s="60"/>
      <c r="C177" s="79"/>
      <c r="D177" s="186"/>
      <c r="E177" s="157"/>
      <c r="F177" s="78">
        <f>C177+D177+E177</f>
        <v>0</v>
      </c>
      <c r="G177" s="142">
        <f>100</f>
        <v>100</v>
      </c>
      <c r="H177" s="210">
        <f>80</f>
        <v>80</v>
      </c>
      <c r="I177" s="124">
        <f>SUM(F177:H177)</f>
        <v>180</v>
      </c>
      <c r="J177" s="142">
        <f>-80+70</f>
        <v>-10</v>
      </c>
      <c r="K177" s="231"/>
      <c r="L177" s="279">
        <f>I177+J177+K177</f>
        <v>170</v>
      </c>
      <c r="M177" s="225"/>
      <c r="N177" s="186"/>
      <c r="O177" s="293">
        <f>L177+M177+N177</f>
        <v>170</v>
      </c>
      <c r="P177" s="323"/>
      <c r="Q177" s="329">
        <f t="shared" si="48"/>
        <v>170</v>
      </c>
      <c r="R177" s="345">
        <v>170</v>
      </c>
      <c r="S177" s="338">
        <f t="shared" si="40"/>
        <v>100</v>
      </c>
    </row>
    <row r="178" spans="1:19" ht="12.75">
      <c r="A178" s="19" t="s">
        <v>65</v>
      </c>
      <c r="B178" s="64"/>
      <c r="C178" s="84">
        <f aca="true" t="shared" si="52" ref="C178:R178">C181+C180</f>
        <v>0</v>
      </c>
      <c r="D178" s="191">
        <f t="shared" si="52"/>
        <v>0</v>
      </c>
      <c r="E178" s="160">
        <f t="shared" si="52"/>
        <v>200</v>
      </c>
      <c r="F178" s="85">
        <f t="shared" si="52"/>
        <v>200</v>
      </c>
      <c r="G178" s="84">
        <f t="shared" si="52"/>
        <v>0</v>
      </c>
      <c r="H178" s="191">
        <f t="shared" si="52"/>
        <v>60</v>
      </c>
      <c r="I178" s="85">
        <f t="shared" si="52"/>
        <v>260</v>
      </c>
      <c r="J178" s="146">
        <f t="shared" si="52"/>
        <v>0</v>
      </c>
      <c r="K178" s="235">
        <f t="shared" si="52"/>
        <v>0</v>
      </c>
      <c r="L178" s="282">
        <f t="shared" si="52"/>
        <v>260</v>
      </c>
      <c r="M178" s="235">
        <f t="shared" si="52"/>
        <v>0</v>
      </c>
      <c r="N178" s="214">
        <f t="shared" si="52"/>
        <v>0</v>
      </c>
      <c r="O178" s="244">
        <f t="shared" si="52"/>
        <v>260</v>
      </c>
      <c r="P178" s="84">
        <f t="shared" si="52"/>
        <v>0</v>
      </c>
      <c r="Q178" s="85">
        <f t="shared" si="52"/>
        <v>260</v>
      </c>
      <c r="R178" s="349">
        <f t="shared" si="52"/>
        <v>200</v>
      </c>
      <c r="S178" s="344">
        <f t="shared" si="40"/>
        <v>76.92307692307693</v>
      </c>
    </row>
    <row r="179" spans="1:19" ht="12.75">
      <c r="A179" s="15" t="s">
        <v>31</v>
      </c>
      <c r="B179" s="60"/>
      <c r="C179" s="79"/>
      <c r="D179" s="186"/>
      <c r="E179" s="157"/>
      <c r="F179" s="77"/>
      <c r="G179" s="142"/>
      <c r="H179" s="210"/>
      <c r="I179" s="123"/>
      <c r="J179" s="142"/>
      <c r="K179" s="231"/>
      <c r="L179" s="217"/>
      <c r="M179" s="225"/>
      <c r="N179" s="186"/>
      <c r="O179" s="292"/>
      <c r="P179" s="323"/>
      <c r="Q179" s="329"/>
      <c r="R179" s="345"/>
      <c r="S179" s="338"/>
    </row>
    <row r="180" spans="1:19" ht="13.5" thickBot="1">
      <c r="A180" s="118" t="s">
        <v>66</v>
      </c>
      <c r="B180" s="115"/>
      <c r="C180" s="116"/>
      <c r="D180" s="194"/>
      <c r="E180" s="163">
        <f>200</f>
        <v>200</v>
      </c>
      <c r="F180" s="117">
        <f>C180+D180+E180</f>
        <v>200</v>
      </c>
      <c r="G180" s="139"/>
      <c r="H180" s="219">
        <f>60</f>
        <v>60</v>
      </c>
      <c r="I180" s="140">
        <f>SUM(F180:H180)</f>
        <v>260</v>
      </c>
      <c r="J180" s="139"/>
      <c r="K180" s="270"/>
      <c r="L180" s="316">
        <f>I180+J180+K180</f>
        <v>260</v>
      </c>
      <c r="M180" s="300"/>
      <c r="N180" s="194"/>
      <c r="O180" s="301">
        <f>L180+M180+N180</f>
        <v>260</v>
      </c>
      <c r="P180" s="327"/>
      <c r="Q180" s="332">
        <f t="shared" si="48"/>
        <v>260</v>
      </c>
      <c r="R180" s="355">
        <v>200</v>
      </c>
      <c r="S180" s="339">
        <f t="shared" si="40"/>
        <v>76.92307692307693</v>
      </c>
    </row>
    <row r="181" spans="1:19" ht="12.75" hidden="1">
      <c r="A181" s="16" t="s">
        <v>214</v>
      </c>
      <c r="B181" s="63"/>
      <c r="C181" s="86"/>
      <c r="D181" s="193"/>
      <c r="E181" s="161"/>
      <c r="F181" s="112">
        <f>C181+D181+E181</f>
        <v>0</v>
      </c>
      <c r="G181" s="136"/>
      <c r="H181" s="215"/>
      <c r="I181" s="130"/>
      <c r="J181" s="136"/>
      <c r="K181" s="233"/>
      <c r="L181" s="315">
        <f>I181+J181+K181</f>
        <v>0</v>
      </c>
      <c r="M181" s="274"/>
      <c r="N181" s="193"/>
      <c r="O181" s="295">
        <f>L181+M181+N181</f>
        <v>0</v>
      </c>
      <c r="P181" s="326"/>
      <c r="Q181" s="330">
        <f t="shared" si="48"/>
        <v>0</v>
      </c>
      <c r="R181" s="345"/>
      <c r="S181" s="338" t="e">
        <f t="shared" si="40"/>
        <v>#DIV/0!</v>
      </c>
    </row>
    <row r="182" spans="1:19" ht="12.75">
      <c r="A182" s="10" t="s">
        <v>85</v>
      </c>
      <c r="B182" s="64"/>
      <c r="C182" s="75">
        <f aca="true" t="shared" si="53" ref="C182:O182">C183+C196</f>
        <v>1112721</v>
      </c>
      <c r="D182" s="185">
        <f t="shared" si="53"/>
        <v>47059.36</v>
      </c>
      <c r="E182" s="156">
        <f t="shared" si="53"/>
        <v>0</v>
      </c>
      <c r="F182" s="77">
        <f t="shared" si="53"/>
        <v>1159780.3599999999</v>
      </c>
      <c r="G182" s="75">
        <f t="shared" si="53"/>
        <v>345997.13</v>
      </c>
      <c r="H182" s="185">
        <f t="shared" si="53"/>
        <v>1000</v>
      </c>
      <c r="I182" s="77">
        <f t="shared" si="53"/>
        <v>1506777.49</v>
      </c>
      <c r="J182" s="141">
        <f t="shared" si="53"/>
        <v>-3112.4900000000002</v>
      </c>
      <c r="K182" s="230">
        <f t="shared" si="53"/>
        <v>0</v>
      </c>
      <c r="L182" s="217">
        <f t="shared" si="53"/>
        <v>1503665</v>
      </c>
      <c r="M182" s="230">
        <f t="shared" si="53"/>
        <v>10900</v>
      </c>
      <c r="N182" s="209">
        <f t="shared" si="53"/>
        <v>0</v>
      </c>
      <c r="O182" s="228">
        <f t="shared" si="53"/>
        <v>1514565</v>
      </c>
      <c r="P182" s="75">
        <f>P183+P196</f>
        <v>21351</v>
      </c>
      <c r="Q182" s="77">
        <f>Q183+Q196</f>
        <v>1535916</v>
      </c>
      <c r="R182" s="346">
        <f>R183+R196</f>
        <v>1527363.7</v>
      </c>
      <c r="S182" s="337">
        <f t="shared" si="40"/>
        <v>99.4431791842783</v>
      </c>
    </row>
    <row r="183" spans="1:19" ht="12.75">
      <c r="A183" s="19" t="s">
        <v>59</v>
      </c>
      <c r="B183" s="64"/>
      <c r="C183" s="84">
        <f aca="true" t="shared" si="54" ref="C183:O183">SUM(C186:C195)</f>
        <v>1112721</v>
      </c>
      <c r="D183" s="191">
        <f t="shared" si="54"/>
        <v>32320.16</v>
      </c>
      <c r="E183" s="160">
        <f t="shared" si="54"/>
        <v>0</v>
      </c>
      <c r="F183" s="85">
        <f t="shared" si="54"/>
        <v>1145041.16</v>
      </c>
      <c r="G183" s="84">
        <f t="shared" si="54"/>
        <v>345997.13</v>
      </c>
      <c r="H183" s="191">
        <f t="shared" si="54"/>
        <v>1000</v>
      </c>
      <c r="I183" s="85">
        <f t="shared" si="54"/>
        <v>1492038.29</v>
      </c>
      <c r="J183" s="146">
        <f t="shared" si="54"/>
        <v>190.81</v>
      </c>
      <c r="K183" s="235">
        <f t="shared" si="54"/>
        <v>0</v>
      </c>
      <c r="L183" s="282">
        <f t="shared" si="54"/>
        <v>1492229.1</v>
      </c>
      <c r="M183" s="235">
        <f t="shared" si="54"/>
        <v>13071.34</v>
      </c>
      <c r="N183" s="214">
        <f t="shared" si="54"/>
        <v>0</v>
      </c>
      <c r="O183" s="244">
        <f t="shared" si="54"/>
        <v>1505300.44</v>
      </c>
      <c r="P183" s="84">
        <f>SUM(P186:P195)</f>
        <v>21351</v>
      </c>
      <c r="Q183" s="85">
        <f>SUM(Q186:Q195)</f>
        <v>1526651.44</v>
      </c>
      <c r="R183" s="349">
        <f>SUM(R186:R195)</f>
        <v>1523097.43</v>
      </c>
      <c r="S183" s="344">
        <f t="shared" si="40"/>
        <v>99.76720226327498</v>
      </c>
    </row>
    <row r="184" spans="1:19" ht="12.75">
      <c r="A184" s="15" t="s">
        <v>31</v>
      </c>
      <c r="B184" s="60"/>
      <c r="C184" s="79"/>
      <c r="D184" s="186"/>
      <c r="E184" s="157"/>
      <c r="F184" s="77"/>
      <c r="G184" s="142"/>
      <c r="H184" s="210"/>
      <c r="I184" s="123"/>
      <c r="J184" s="142"/>
      <c r="K184" s="231"/>
      <c r="L184" s="217"/>
      <c r="M184" s="225"/>
      <c r="N184" s="186"/>
      <c r="O184" s="292"/>
      <c r="P184" s="323"/>
      <c r="Q184" s="329"/>
      <c r="R184" s="345"/>
      <c r="S184" s="338"/>
    </row>
    <row r="185" spans="1:19" ht="12.75">
      <c r="A185" s="17" t="s">
        <v>86</v>
      </c>
      <c r="B185" s="60"/>
      <c r="C185" s="79">
        <f>C186+C187</f>
        <v>673242</v>
      </c>
      <c r="D185" s="186"/>
      <c r="E185" s="157">
        <f>E186+E187</f>
        <v>-502.01</v>
      </c>
      <c r="F185" s="78">
        <f>F186+F187</f>
        <v>677851.7</v>
      </c>
      <c r="G185" s="79">
        <f>G186+G187</f>
        <v>983.0700000000002</v>
      </c>
      <c r="H185" s="186">
        <f>H186+H187</f>
        <v>0</v>
      </c>
      <c r="I185" s="78">
        <f>I186+I187</f>
        <v>678834.77</v>
      </c>
      <c r="J185" s="142"/>
      <c r="K185" s="231"/>
      <c r="L185" s="279">
        <f>L186+L187</f>
        <v>678817.03</v>
      </c>
      <c r="M185" s="231">
        <f>M186+M187</f>
        <v>0</v>
      </c>
      <c r="N185" s="210">
        <f>N186+N187</f>
        <v>0</v>
      </c>
      <c r="O185" s="229">
        <f>O186+O187</f>
        <v>678817.03</v>
      </c>
      <c r="P185" s="323"/>
      <c r="Q185" s="329">
        <f t="shared" si="48"/>
        <v>678817.03</v>
      </c>
      <c r="R185" s="345">
        <f>R186+R187</f>
        <v>676660.88</v>
      </c>
      <c r="S185" s="338">
        <f t="shared" si="40"/>
        <v>99.68236654286649</v>
      </c>
    </row>
    <row r="186" spans="1:19" ht="12.75">
      <c r="A186" s="17" t="s">
        <v>87</v>
      </c>
      <c r="B186" s="60"/>
      <c r="C186" s="79">
        <v>296942</v>
      </c>
      <c r="D186" s="186">
        <f>5.71+5106</f>
        <v>5111.71</v>
      </c>
      <c r="E186" s="157">
        <f>-252.01-250</f>
        <v>-502.01</v>
      </c>
      <c r="F186" s="78">
        <f aca="true" t="shared" si="55" ref="F186:F195">C186+D186+E186</f>
        <v>301551.7</v>
      </c>
      <c r="G186" s="142">
        <f>2683.07+114.4+185.6-2000</f>
        <v>983.0700000000002</v>
      </c>
      <c r="H186" s="216"/>
      <c r="I186" s="124">
        <f aca="true" t="shared" si="56" ref="I186:I195">F186+G186+H186</f>
        <v>302534.77</v>
      </c>
      <c r="J186" s="142">
        <f>-17.74+1645.15</f>
        <v>1627.41</v>
      </c>
      <c r="K186" s="231"/>
      <c r="L186" s="279">
        <f aca="true" t="shared" si="57" ref="L186:L195">I186+J186+K186</f>
        <v>304162.18</v>
      </c>
      <c r="M186" s="225"/>
      <c r="N186" s="186"/>
      <c r="O186" s="293">
        <f aca="true" t="shared" si="58" ref="O186:O195">L186+M186+N186</f>
        <v>304162.18</v>
      </c>
      <c r="P186" s="323"/>
      <c r="Q186" s="329">
        <f t="shared" si="48"/>
        <v>304162.18</v>
      </c>
      <c r="R186" s="345">
        <v>302006.07</v>
      </c>
      <c r="S186" s="338">
        <f t="shared" si="40"/>
        <v>99.29113146151175</v>
      </c>
    </row>
    <row r="187" spans="1:19" ht="12.75">
      <c r="A187" s="13" t="s">
        <v>88</v>
      </c>
      <c r="B187" s="60"/>
      <c r="C187" s="79">
        <v>376300</v>
      </c>
      <c r="D187" s="186"/>
      <c r="E187" s="157"/>
      <c r="F187" s="78">
        <f t="shared" si="55"/>
        <v>376300</v>
      </c>
      <c r="G187" s="333"/>
      <c r="H187" s="216"/>
      <c r="I187" s="124">
        <f t="shared" si="56"/>
        <v>376300</v>
      </c>
      <c r="J187" s="142">
        <f>-1645.15</f>
        <v>-1645.15</v>
      </c>
      <c r="K187" s="231"/>
      <c r="L187" s="279">
        <f t="shared" si="57"/>
        <v>374654.85</v>
      </c>
      <c r="M187" s="225"/>
      <c r="N187" s="186"/>
      <c r="O187" s="293">
        <f t="shared" si="58"/>
        <v>374654.85</v>
      </c>
      <c r="P187" s="323"/>
      <c r="Q187" s="329">
        <f t="shared" si="48"/>
        <v>374654.85</v>
      </c>
      <c r="R187" s="345">
        <v>374654.81</v>
      </c>
      <c r="S187" s="338">
        <f t="shared" si="40"/>
        <v>99.9999893235067</v>
      </c>
    </row>
    <row r="188" spans="1:19" ht="12.75">
      <c r="A188" s="17" t="s">
        <v>89</v>
      </c>
      <c r="B188" s="60"/>
      <c r="C188" s="79">
        <v>20979</v>
      </c>
      <c r="D188" s="186"/>
      <c r="E188" s="157"/>
      <c r="F188" s="78">
        <f t="shared" si="55"/>
        <v>20979</v>
      </c>
      <c r="G188" s="142">
        <f>9.34</f>
        <v>9.34</v>
      </c>
      <c r="H188" s="210"/>
      <c r="I188" s="124">
        <f t="shared" si="56"/>
        <v>20988.34</v>
      </c>
      <c r="J188" s="142"/>
      <c r="K188" s="231"/>
      <c r="L188" s="279">
        <f t="shared" si="57"/>
        <v>20988.34</v>
      </c>
      <c r="M188" s="225"/>
      <c r="N188" s="186"/>
      <c r="O188" s="293">
        <f t="shared" si="58"/>
        <v>20988.34</v>
      </c>
      <c r="P188" s="323"/>
      <c r="Q188" s="329">
        <f t="shared" si="48"/>
        <v>20988.34</v>
      </c>
      <c r="R188" s="345">
        <v>20988.34</v>
      </c>
      <c r="S188" s="338">
        <f t="shared" si="40"/>
        <v>100</v>
      </c>
    </row>
    <row r="189" spans="1:19" ht="12.75">
      <c r="A189" s="13" t="s">
        <v>90</v>
      </c>
      <c r="B189" s="60"/>
      <c r="C189" s="79"/>
      <c r="D189" s="186"/>
      <c r="E189" s="157">
        <f>250</f>
        <v>250</v>
      </c>
      <c r="F189" s="78">
        <f t="shared" si="55"/>
        <v>250</v>
      </c>
      <c r="G189" s="142"/>
      <c r="H189" s="210"/>
      <c r="I189" s="124">
        <f t="shared" si="56"/>
        <v>250</v>
      </c>
      <c r="J189" s="142"/>
      <c r="K189" s="231"/>
      <c r="L189" s="279">
        <f t="shared" si="57"/>
        <v>250</v>
      </c>
      <c r="M189" s="225"/>
      <c r="N189" s="186"/>
      <c r="O189" s="293">
        <f t="shared" si="58"/>
        <v>250</v>
      </c>
      <c r="P189" s="323"/>
      <c r="Q189" s="329">
        <f t="shared" si="48"/>
        <v>250</v>
      </c>
      <c r="R189" s="345">
        <v>250</v>
      </c>
      <c r="S189" s="338">
        <f t="shared" si="40"/>
        <v>100</v>
      </c>
    </row>
    <row r="190" spans="1:19" ht="12.75">
      <c r="A190" s="13" t="s">
        <v>77</v>
      </c>
      <c r="B190" s="60"/>
      <c r="C190" s="79"/>
      <c r="D190" s="186"/>
      <c r="E190" s="157">
        <f>252.01</f>
        <v>252.01</v>
      </c>
      <c r="F190" s="78">
        <f t="shared" si="55"/>
        <v>252.01</v>
      </c>
      <c r="G190" s="142"/>
      <c r="H190" s="210"/>
      <c r="I190" s="124">
        <f t="shared" si="56"/>
        <v>252.01</v>
      </c>
      <c r="J190" s="142"/>
      <c r="K190" s="231"/>
      <c r="L190" s="279">
        <f t="shared" si="57"/>
        <v>252.01</v>
      </c>
      <c r="M190" s="225"/>
      <c r="N190" s="186"/>
      <c r="O190" s="293">
        <f t="shared" si="58"/>
        <v>252.01</v>
      </c>
      <c r="P190" s="323"/>
      <c r="Q190" s="329">
        <f t="shared" si="48"/>
        <v>252.01</v>
      </c>
      <c r="R190" s="345">
        <v>252.01</v>
      </c>
      <c r="S190" s="338">
        <f t="shared" si="40"/>
        <v>100</v>
      </c>
    </row>
    <row r="191" spans="1:19" ht="12.75" hidden="1">
      <c r="A191" s="13" t="s">
        <v>200</v>
      </c>
      <c r="B191" s="60"/>
      <c r="C191" s="79"/>
      <c r="D191" s="186"/>
      <c r="E191" s="157"/>
      <c r="F191" s="78">
        <f t="shared" si="55"/>
        <v>0</v>
      </c>
      <c r="G191" s="142"/>
      <c r="H191" s="210"/>
      <c r="I191" s="124">
        <f t="shared" si="56"/>
        <v>0</v>
      </c>
      <c r="J191" s="142"/>
      <c r="K191" s="231"/>
      <c r="L191" s="279">
        <f>I191+J191+K191</f>
        <v>0</v>
      </c>
      <c r="M191" s="225"/>
      <c r="N191" s="186"/>
      <c r="O191" s="293">
        <f t="shared" si="58"/>
        <v>0</v>
      </c>
      <c r="P191" s="323"/>
      <c r="Q191" s="329">
        <f t="shared" si="48"/>
        <v>0</v>
      </c>
      <c r="R191" s="345"/>
      <c r="S191" s="338" t="e">
        <f t="shared" si="40"/>
        <v>#DIV/0!</v>
      </c>
    </row>
    <row r="192" spans="1:19" ht="12.75">
      <c r="A192" s="13" t="s">
        <v>91</v>
      </c>
      <c r="B192" s="60">
        <v>91252</v>
      </c>
      <c r="C192" s="79"/>
      <c r="D192" s="186"/>
      <c r="E192" s="157"/>
      <c r="F192" s="78">
        <f t="shared" si="55"/>
        <v>0</v>
      </c>
      <c r="G192" s="142">
        <f>53649</f>
        <v>53649</v>
      </c>
      <c r="H192" s="210"/>
      <c r="I192" s="124">
        <f t="shared" si="56"/>
        <v>53649</v>
      </c>
      <c r="J192" s="142"/>
      <c r="K192" s="231"/>
      <c r="L192" s="279">
        <f t="shared" si="57"/>
        <v>53649</v>
      </c>
      <c r="M192" s="225"/>
      <c r="N192" s="186"/>
      <c r="O192" s="293">
        <f t="shared" si="58"/>
        <v>53649</v>
      </c>
      <c r="P192" s="323">
        <f>21351</f>
        <v>21351</v>
      </c>
      <c r="Q192" s="329">
        <f t="shared" si="48"/>
        <v>75000</v>
      </c>
      <c r="R192" s="345">
        <v>75000</v>
      </c>
      <c r="S192" s="338">
        <f t="shared" si="40"/>
        <v>100</v>
      </c>
    </row>
    <row r="193" spans="1:19" ht="12.75">
      <c r="A193" s="13" t="s">
        <v>168</v>
      </c>
      <c r="B193" s="60">
        <v>27355</v>
      </c>
      <c r="C193" s="79"/>
      <c r="D193" s="186"/>
      <c r="E193" s="157"/>
      <c r="F193" s="78">
        <f t="shared" si="55"/>
        <v>0</v>
      </c>
      <c r="G193" s="142">
        <f>267710.72</f>
        <v>267710.72</v>
      </c>
      <c r="H193" s="210"/>
      <c r="I193" s="124">
        <f t="shared" si="56"/>
        <v>267710.72</v>
      </c>
      <c r="J193" s="142"/>
      <c r="K193" s="231"/>
      <c r="L193" s="279">
        <f t="shared" si="57"/>
        <v>267710.72</v>
      </c>
      <c r="M193" s="225"/>
      <c r="N193" s="186"/>
      <c r="O193" s="293">
        <f t="shared" si="58"/>
        <v>267710.72</v>
      </c>
      <c r="P193" s="323"/>
      <c r="Q193" s="329">
        <f t="shared" si="48"/>
        <v>267710.72</v>
      </c>
      <c r="R193" s="345">
        <v>267710.72</v>
      </c>
      <c r="S193" s="338">
        <f t="shared" si="40"/>
        <v>100</v>
      </c>
    </row>
    <row r="194" spans="1:19" ht="12.75">
      <c r="A194" s="13" t="s">
        <v>62</v>
      </c>
      <c r="B194" s="60"/>
      <c r="C194" s="79">
        <v>418500</v>
      </c>
      <c r="D194" s="186">
        <f>2000+1300+10.65+25000-1102.2</f>
        <v>27208.45</v>
      </c>
      <c r="E194" s="157"/>
      <c r="F194" s="78">
        <f t="shared" si="55"/>
        <v>445708.45</v>
      </c>
      <c r="G194" s="142">
        <f>12645+9000+2000</f>
        <v>23645</v>
      </c>
      <c r="H194" s="210">
        <f>1000</f>
        <v>1000</v>
      </c>
      <c r="I194" s="124">
        <f t="shared" si="56"/>
        <v>470353.45</v>
      </c>
      <c r="J194" s="142">
        <f>208.55</f>
        <v>208.55</v>
      </c>
      <c r="K194" s="231"/>
      <c r="L194" s="279">
        <f t="shared" si="57"/>
        <v>470562</v>
      </c>
      <c r="M194" s="225">
        <f>2171.34+7400+3500</f>
        <v>13071.34</v>
      </c>
      <c r="N194" s="186"/>
      <c r="O194" s="293">
        <f t="shared" si="58"/>
        <v>483633.34</v>
      </c>
      <c r="P194" s="323"/>
      <c r="Q194" s="329">
        <f t="shared" si="48"/>
        <v>483633.34</v>
      </c>
      <c r="R194" s="345">
        <v>482235.48</v>
      </c>
      <c r="S194" s="338">
        <f t="shared" si="40"/>
        <v>99.71096698999287</v>
      </c>
    </row>
    <row r="195" spans="1:19" ht="12" customHeight="1" hidden="1">
      <c r="A195" s="13" t="s">
        <v>92</v>
      </c>
      <c r="B195" s="60"/>
      <c r="C195" s="79"/>
      <c r="D195" s="186"/>
      <c r="E195" s="157"/>
      <c r="F195" s="78">
        <f t="shared" si="55"/>
        <v>0</v>
      </c>
      <c r="G195" s="142"/>
      <c r="H195" s="210"/>
      <c r="I195" s="124">
        <f t="shared" si="56"/>
        <v>0</v>
      </c>
      <c r="J195" s="142"/>
      <c r="K195" s="231"/>
      <c r="L195" s="279">
        <f t="shared" si="57"/>
        <v>0</v>
      </c>
      <c r="M195" s="225"/>
      <c r="N195" s="186"/>
      <c r="O195" s="293">
        <f t="shared" si="58"/>
        <v>0</v>
      </c>
      <c r="P195" s="323"/>
      <c r="Q195" s="329">
        <f t="shared" si="48"/>
        <v>0</v>
      </c>
      <c r="R195" s="345"/>
      <c r="S195" s="338" t="e">
        <f t="shared" si="40"/>
        <v>#DIV/0!</v>
      </c>
    </row>
    <row r="196" spans="1:19" ht="12.75">
      <c r="A196" s="20" t="s">
        <v>65</v>
      </c>
      <c r="B196" s="64"/>
      <c r="C196" s="87">
        <f aca="true" t="shared" si="59" ref="C196:R196">SUM(C198:C200)</f>
        <v>0</v>
      </c>
      <c r="D196" s="192">
        <f t="shared" si="59"/>
        <v>14739.2</v>
      </c>
      <c r="E196" s="162">
        <f t="shared" si="59"/>
        <v>0</v>
      </c>
      <c r="F196" s="88">
        <f t="shared" si="59"/>
        <v>14739.2</v>
      </c>
      <c r="G196" s="87">
        <f t="shared" si="59"/>
        <v>0</v>
      </c>
      <c r="H196" s="192">
        <f t="shared" si="59"/>
        <v>0</v>
      </c>
      <c r="I196" s="88">
        <f t="shared" si="59"/>
        <v>14739.2</v>
      </c>
      <c r="J196" s="263">
        <f t="shared" si="59"/>
        <v>-3303.3</v>
      </c>
      <c r="K196" s="256">
        <f t="shared" si="59"/>
        <v>0</v>
      </c>
      <c r="L196" s="283">
        <f t="shared" si="59"/>
        <v>11435.900000000001</v>
      </c>
      <c r="M196" s="256">
        <f t="shared" si="59"/>
        <v>-2171.34</v>
      </c>
      <c r="N196" s="303">
        <f t="shared" si="59"/>
        <v>0</v>
      </c>
      <c r="O196" s="245">
        <f t="shared" si="59"/>
        <v>9264.560000000001</v>
      </c>
      <c r="P196" s="87">
        <f t="shared" si="59"/>
        <v>0</v>
      </c>
      <c r="Q196" s="88">
        <f t="shared" si="59"/>
        <v>9264.560000000001</v>
      </c>
      <c r="R196" s="350">
        <f t="shared" si="59"/>
        <v>4266.27</v>
      </c>
      <c r="S196" s="344">
        <f t="shared" si="40"/>
        <v>46.049353666013275</v>
      </c>
    </row>
    <row r="197" spans="1:19" ht="12.75">
      <c r="A197" s="11" t="s">
        <v>31</v>
      </c>
      <c r="B197" s="60"/>
      <c r="C197" s="80"/>
      <c r="D197" s="189"/>
      <c r="E197" s="158"/>
      <c r="F197" s="81"/>
      <c r="G197" s="144"/>
      <c r="H197" s="212"/>
      <c r="I197" s="125"/>
      <c r="J197" s="144"/>
      <c r="K197" s="232"/>
      <c r="L197" s="280"/>
      <c r="M197" s="272"/>
      <c r="N197" s="189"/>
      <c r="O197" s="294"/>
      <c r="P197" s="323"/>
      <c r="Q197" s="329"/>
      <c r="R197" s="345"/>
      <c r="S197" s="338"/>
    </row>
    <row r="198" spans="1:19" ht="12.75">
      <c r="A198" s="12" t="s">
        <v>66</v>
      </c>
      <c r="B198" s="60"/>
      <c r="C198" s="79"/>
      <c r="D198" s="186">
        <f>8637+1102.2</f>
        <v>9739.2</v>
      </c>
      <c r="E198" s="157"/>
      <c r="F198" s="78">
        <f>C198+D198+E198</f>
        <v>9739.2</v>
      </c>
      <c r="G198" s="142"/>
      <c r="H198" s="210"/>
      <c r="I198" s="124">
        <f>F198+G198+H198</f>
        <v>9739.2</v>
      </c>
      <c r="J198" s="142">
        <f>-3303.3</f>
        <v>-3303.3</v>
      </c>
      <c r="K198" s="231"/>
      <c r="L198" s="279">
        <f>I198+J198+K198</f>
        <v>6435.900000000001</v>
      </c>
      <c r="M198" s="225">
        <f>-2171.34</f>
        <v>-2171.34</v>
      </c>
      <c r="N198" s="186"/>
      <c r="O198" s="293">
        <f>L198+M198+N198</f>
        <v>4264.56</v>
      </c>
      <c r="P198" s="323"/>
      <c r="Q198" s="329">
        <f t="shared" si="48"/>
        <v>4264.56</v>
      </c>
      <c r="R198" s="345">
        <v>2266.27</v>
      </c>
      <c r="S198" s="338">
        <f t="shared" si="40"/>
        <v>53.141941958842175</v>
      </c>
    </row>
    <row r="199" spans="1:19" ht="12.75">
      <c r="A199" s="16" t="s">
        <v>106</v>
      </c>
      <c r="B199" s="63"/>
      <c r="C199" s="86"/>
      <c r="D199" s="193">
        <v>5000</v>
      </c>
      <c r="E199" s="161"/>
      <c r="F199" s="112">
        <f>C199+D199+E199</f>
        <v>5000</v>
      </c>
      <c r="G199" s="136"/>
      <c r="H199" s="215"/>
      <c r="I199" s="129">
        <f>F199+G199+H199</f>
        <v>5000</v>
      </c>
      <c r="J199" s="136"/>
      <c r="K199" s="233"/>
      <c r="L199" s="315">
        <f>I199+J199+K199</f>
        <v>5000</v>
      </c>
      <c r="M199" s="274"/>
      <c r="N199" s="193"/>
      <c r="O199" s="295">
        <f>L199+M199+N199</f>
        <v>5000</v>
      </c>
      <c r="P199" s="326"/>
      <c r="Q199" s="330">
        <f t="shared" si="48"/>
        <v>5000</v>
      </c>
      <c r="R199" s="351">
        <v>2000</v>
      </c>
      <c r="S199" s="340">
        <f t="shared" si="40"/>
        <v>40</v>
      </c>
    </row>
    <row r="200" spans="1:19" ht="12.75" hidden="1">
      <c r="A200" s="16" t="s">
        <v>93</v>
      </c>
      <c r="B200" s="63"/>
      <c r="C200" s="86"/>
      <c r="D200" s="193"/>
      <c r="E200" s="161"/>
      <c r="F200" s="112">
        <f>C200+D200+E200</f>
        <v>0</v>
      </c>
      <c r="G200" s="136"/>
      <c r="H200" s="215"/>
      <c r="I200" s="129">
        <f>F200+G200+H200</f>
        <v>0</v>
      </c>
      <c r="J200" s="136"/>
      <c r="K200" s="233"/>
      <c r="L200" s="315">
        <f>I200+J200+K200</f>
        <v>0</v>
      </c>
      <c r="M200" s="274"/>
      <c r="N200" s="193"/>
      <c r="O200" s="295">
        <f>L200+M200+N200</f>
        <v>0</v>
      </c>
      <c r="P200" s="326"/>
      <c r="Q200" s="330">
        <f t="shared" si="48"/>
        <v>0</v>
      </c>
      <c r="R200" s="345"/>
      <c r="S200" s="338" t="e">
        <f t="shared" si="40"/>
        <v>#DIV/0!</v>
      </c>
    </row>
    <row r="201" spans="1:19" ht="12.75">
      <c r="A201" s="14" t="s">
        <v>94</v>
      </c>
      <c r="B201" s="64"/>
      <c r="C201" s="80">
        <f aca="true" t="shared" si="60" ref="C201:O201">C202+C207</f>
        <v>31080.8</v>
      </c>
      <c r="D201" s="189">
        <f t="shared" si="60"/>
        <v>2150</v>
      </c>
      <c r="E201" s="158">
        <f t="shared" si="60"/>
        <v>0</v>
      </c>
      <c r="F201" s="81">
        <f t="shared" si="60"/>
        <v>33230.8</v>
      </c>
      <c r="G201" s="80">
        <f t="shared" si="60"/>
        <v>120</v>
      </c>
      <c r="H201" s="189">
        <f t="shared" si="60"/>
        <v>0</v>
      </c>
      <c r="I201" s="81">
        <f t="shared" si="60"/>
        <v>33350.8</v>
      </c>
      <c r="J201" s="144">
        <f t="shared" si="60"/>
        <v>2427.88</v>
      </c>
      <c r="K201" s="232">
        <f t="shared" si="60"/>
        <v>0</v>
      </c>
      <c r="L201" s="280">
        <f t="shared" si="60"/>
        <v>35778.68</v>
      </c>
      <c r="M201" s="232">
        <f t="shared" si="60"/>
        <v>0</v>
      </c>
      <c r="N201" s="212">
        <f t="shared" si="60"/>
        <v>0</v>
      </c>
      <c r="O201" s="242">
        <f t="shared" si="60"/>
        <v>35778.68</v>
      </c>
      <c r="P201" s="80">
        <f>P202+P207</f>
        <v>0</v>
      </c>
      <c r="Q201" s="81">
        <f>Q202+Q207</f>
        <v>35778.68</v>
      </c>
      <c r="R201" s="347">
        <f>R202+R207</f>
        <v>30714.99</v>
      </c>
      <c r="S201" s="337">
        <f t="shared" si="40"/>
        <v>85.84718608959302</v>
      </c>
    </row>
    <row r="202" spans="1:19" ht="12.75">
      <c r="A202" s="19" t="s">
        <v>59</v>
      </c>
      <c r="B202" s="64"/>
      <c r="C202" s="84">
        <f aca="true" t="shared" si="61" ref="C202:O202">SUM(C204:C206)</f>
        <v>29080.8</v>
      </c>
      <c r="D202" s="191">
        <f t="shared" si="61"/>
        <v>-450</v>
      </c>
      <c r="E202" s="160">
        <f t="shared" si="61"/>
        <v>0</v>
      </c>
      <c r="F202" s="85">
        <f t="shared" si="61"/>
        <v>28630.8</v>
      </c>
      <c r="G202" s="84">
        <f t="shared" si="61"/>
        <v>120</v>
      </c>
      <c r="H202" s="191">
        <f t="shared" si="61"/>
        <v>0</v>
      </c>
      <c r="I202" s="85">
        <f t="shared" si="61"/>
        <v>28750.8</v>
      </c>
      <c r="J202" s="146">
        <f t="shared" si="61"/>
        <v>2431.83</v>
      </c>
      <c r="K202" s="235">
        <f t="shared" si="61"/>
        <v>0</v>
      </c>
      <c r="L202" s="282">
        <f t="shared" si="61"/>
        <v>31182.63</v>
      </c>
      <c r="M202" s="235">
        <f t="shared" si="61"/>
        <v>-500</v>
      </c>
      <c r="N202" s="214">
        <f t="shared" si="61"/>
        <v>0</v>
      </c>
      <c r="O202" s="244">
        <f t="shared" si="61"/>
        <v>30682.63</v>
      </c>
      <c r="P202" s="84">
        <f>SUM(P204:P206)</f>
        <v>0</v>
      </c>
      <c r="Q202" s="85">
        <f>SUM(Q204:Q206)</f>
        <v>30682.63</v>
      </c>
      <c r="R202" s="349">
        <f>SUM(R204:R206)</f>
        <v>25619.56</v>
      </c>
      <c r="S202" s="344">
        <f t="shared" si="40"/>
        <v>83.4985788376029</v>
      </c>
    </row>
    <row r="203" spans="1:19" ht="12.75">
      <c r="A203" s="15" t="s">
        <v>31</v>
      </c>
      <c r="B203" s="60"/>
      <c r="C203" s="79"/>
      <c r="D203" s="186"/>
      <c r="E203" s="157"/>
      <c r="F203" s="77"/>
      <c r="G203" s="142"/>
      <c r="H203" s="210"/>
      <c r="I203" s="123"/>
      <c r="J203" s="142"/>
      <c r="K203" s="231"/>
      <c r="L203" s="217"/>
      <c r="M203" s="225"/>
      <c r="N203" s="186"/>
      <c r="O203" s="292"/>
      <c r="P203" s="323"/>
      <c r="Q203" s="329"/>
      <c r="R203" s="345"/>
      <c r="S203" s="338"/>
    </row>
    <row r="204" spans="1:19" ht="12.75">
      <c r="A204" s="13" t="s">
        <v>62</v>
      </c>
      <c r="B204" s="60"/>
      <c r="C204" s="79">
        <v>5080.8</v>
      </c>
      <c r="D204" s="186">
        <f>-450</f>
        <v>-450</v>
      </c>
      <c r="E204" s="157"/>
      <c r="F204" s="78">
        <f>C204+D204+E204</f>
        <v>4630.8</v>
      </c>
      <c r="G204" s="142">
        <f>120</f>
        <v>120</v>
      </c>
      <c r="H204" s="210"/>
      <c r="I204" s="124">
        <f>F204+G204+H204</f>
        <v>4750.8</v>
      </c>
      <c r="J204" s="142">
        <f>1231.83+1200</f>
        <v>2431.83</v>
      </c>
      <c r="K204" s="231"/>
      <c r="L204" s="279">
        <f>I204+J204+K204</f>
        <v>7182.63</v>
      </c>
      <c r="M204" s="225">
        <f>-500</f>
        <v>-500</v>
      </c>
      <c r="N204" s="186"/>
      <c r="O204" s="293">
        <f>L204+M204+N204</f>
        <v>6682.63</v>
      </c>
      <c r="P204" s="323"/>
      <c r="Q204" s="329">
        <f t="shared" si="48"/>
        <v>6682.63</v>
      </c>
      <c r="R204" s="345">
        <v>6207.38</v>
      </c>
      <c r="S204" s="338">
        <f t="shared" si="40"/>
        <v>92.88827901589643</v>
      </c>
    </row>
    <row r="205" spans="1:19" ht="12.75" hidden="1">
      <c r="A205" s="13" t="s">
        <v>93</v>
      </c>
      <c r="B205" s="60" t="s">
        <v>238</v>
      </c>
      <c r="C205" s="79"/>
      <c r="D205" s="186"/>
      <c r="E205" s="157"/>
      <c r="F205" s="78">
        <f>C205+D205+E205</f>
        <v>0</v>
      </c>
      <c r="G205" s="142"/>
      <c r="H205" s="210"/>
      <c r="I205" s="124"/>
      <c r="J205" s="142"/>
      <c r="K205" s="231"/>
      <c r="L205" s="279"/>
      <c r="M205" s="225"/>
      <c r="N205" s="186"/>
      <c r="O205" s="293">
        <f>L205+M205+N205</f>
        <v>0</v>
      </c>
      <c r="P205" s="323"/>
      <c r="Q205" s="329">
        <f t="shared" si="48"/>
        <v>0</v>
      </c>
      <c r="R205" s="345"/>
      <c r="S205" s="338" t="e">
        <f t="shared" si="40"/>
        <v>#DIV/0!</v>
      </c>
    </row>
    <row r="206" spans="1:19" ht="12.75">
      <c r="A206" s="13" t="s">
        <v>95</v>
      </c>
      <c r="B206" s="60"/>
      <c r="C206" s="79">
        <v>24000</v>
      </c>
      <c r="D206" s="186"/>
      <c r="E206" s="157"/>
      <c r="F206" s="78">
        <f>C206+D206+E206</f>
        <v>24000</v>
      </c>
      <c r="G206" s="142"/>
      <c r="H206" s="210"/>
      <c r="I206" s="124">
        <f>F206+G206+H206</f>
        <v>24000</v>
      </c>
      <c r="J206" s="142"/>
      <c r="K206" s="231"/>
      <c r="L206" s="279">
        <f>I206+J206+K206</f>
        <v>24000</v>
      </c>
      <c r="M206" s="225"/>
      <c r="N206" s="186"/>
      <c r="O206" s="293">
        <f>L206+M206+N206</f>
        <v>24000</v>
      </c>
      <c r="P206" s="323"/>
      <c r="Q206" s="329">
        <f t="shared" si="48"/>
        <v>24000</v>
      </c>
      <c r="R206" s="345">
        <v>19412.18</v>
      </c>
      <c r="S206" s="338">
        <f t="shared" si="40"/>
        <v>80.88408333333334</v>
      </c>
    </row>
    <row r="207" spans="1:19" ht="12.75">
      <c r="A207" s="20" t="s">
        <v>65</v>
      </c>
      <c r="B207" s="64"/>
      <c r="C207" s="87">
        <f>C211+C209+C210</f>
        <v>2000</v>
      </c>
      <c r="D207" s="192">
        <f>D211+D209+D210</f>
        <v>2600</v>
      </c>
      <c r="E207" s="162">
        <f>E211+E209</f>
        <v>0</v>
      </c>
      <c r="F207" s="88">
        <f aca="true" t="shared" si="62" ref="F207:R207">F211+F210+F209</f>
        <v>4600</v>
      </c>
      <c r="G207" s="87">
        <f t="shared" si="62"/>
        <v>0</v>
      </c>
      <c r="H207" s="192">
        <f t="shared" si="62"/>
        <v>0</v>
      </c>
      <c r="I207" s="88">
        <f t="shared" si="62"/>
        <v>4600</v>
      </c>
      <c r="J207" s="263">
        <f t="shared" si="62"/>
        <v>-3.95</v>
      </c>
      <c r="K207" s="256">
        <f t="shared" si="62"/>
        <v>0</v>
      </c>
      <c r="L207" s="283">
        <f t="shared" si="62"/>
        <v>4596.05</v>
      </c>
      <c r="M207" s="256">
        <f t="shared" si="62"/>
        <v>500</v>
      </c>
      <c r="N207" s="303">
        <f t="shared" si="62"/>
        <v>0</v>
      </c>
      <c r="O207" s="245">
        <f t="shared" si="62"/>
        <v>5096.05</v>
      </c>
      <c r="P207" s="87">
        <f t="shared" si="62"/>
        <v>0</v>
      </c>
      <c r="Q207" s="88">
        <f t="shared" si="62"/>
        <v>5096.05</v>
      </c>
      <c r="R207" s="350">
        <f t="shared" si="62"/>
        <v>5095.43</v>
      </c>
      <c r="S207" s="344">
        <f aca="true" t="shared" si="63" ref="S207:S270">R207/Q207*100</f>
        <v>99.98783371434739</v>
      </c>
    </row>
    <row r="208" spans="1:19" ht="12.75">
      <c r="A208" s="11" t="s">
        <v>31</v>
      </c>
      <c r="B208" s="60"/>
      <c r="C208" s="80"/>
      <c r="D208" s="189"/>
      <c r="E208" s="158"/>
      <c r="F208" s="81"/>
      <c r="G208" s="144"/>
      <c r="H208" s="212"/>
      <c r="I208" s="125"/>
      <c r="J208" s="144"/>
      <c r="K208" s="232"/>
      <c r="L208" s="280"/>
      <c r="M208" s="272"/>
      <c r="N208" s="189"/>
      <c r="O208" s="294"/>
      <c r="P208" s="323"/>
      <c r="Q208" s="329"/>
      <c r="R208" s="345"/>
      <c r="S208" s="338"/>
    </row>
    <row r="209" spans="1:19" ht="12.75" hidden="1">
      <c r="A209" s="13" t="s">
        <v>210</v>
      </c>
      <c r="B209" s="60">
        <v>98861</v>
      </c>
      <c r="C209" s="79"/>
      <c r="D209" s="186"/>
      <c r="E209" s="157"/>
      <c r="F209" s="78">
        <f>C209+D209+E209</f>
        <v>0</v>
      </c>
      <c r="G209" s="144"/>
      <c r="H209" s="212"/>
      <c r="I209" s="124"/>
      <c r="J209" s="144"/>
      <c r="K209" s="232"/>
      <c r="L209" s="279"/>
      <c r="M209" s="272"/>
      <c r="N209" s="189"/>
      <c r="O209" s="293">
        <f>L209+M209+N209</f>
        <v>0</v>
      </c>
      <c r="P209" s="323"/>
      <c r="Q209" s="329">
        <f t="shared" si="48"/>
        <v>0</v>
      </c>
      <c r="R209" s="345"/>
      <c r="S209" s="338" t="e">
        <f t="shared" si="63"/>
        <v>#DIV/0!</v>
      </c>
    </row>
    <row r="210" spans="1:19" ht="12.75">
      <c r="A210" s="13" t="s">
        <v>374</v>
      </c>
      <c r="B210" s="60">
        <v>7938</v>
      </c>
      <c r="C210" s="79"/>
      <c r="D210" s="186">
        <v>2000</v>
      </c>
      <c r="E210" s="157"/>
      <c r="F210" s="78">
        <f>C210+D210+E210</f>
        <v>2000</v>
      </c>
      <c r="G210" s="144"/>
      <c r="H210" s="212"/>
      <c r="I210" s="124">
        <f>F210+G210+H210</f>
        <v>2000</v>
      </c>
      <c r="J210" s="142">
        <f>-3.95</f>
        <v>-3.95</v>
      </c>
      <c r="K210" s="232"/>
      <c r="L210" s="279">
        <f>I210+J210+K210</f>
        <v>1996.05</v>
      </c>
      <c r="M210" s="272"/>
      <c r="N210" s="189"/>
      <c r="O210" s="293">
        <f>L210+M210+N210</f>
        <v>1996.05</v>
      </c>
      <c r="P210" s="323"/>
      <c r="Q210" s="329">
        <f t="shared" si="48"/>
        <v>1996.05</v>
      </c>
      <c r="R210" s="345">
        <v>1996.05</v>
      </c>
      <c r="S210" s="338">
        <f t="shared" si="63"/>
        <v>100</v>
      </c>
    </row>
    <row r="211" spans="1:19" ht="12.75">
      <c r="A211" s="24" t="s">
        <v>66</v>
      </c>
      <c r="B211" s="63"/>
      <c r="C211" s="86">
        <v>2000</v>
      </c>
      <c r="D211" s="193">
        <f>600</f>
        <v>600</v>
      </c>
      <c r="E211" s="161"/>
      <c r="F211" s="112">
        <f>C211+D211+E211</f>
        <v>2600</v>
      </c>
      <c r="G211" s="136"/>
      <c r="H211" s="215"/>
      <c r="I211" s="129">
        <f>F211+G211+H211</f>
        <v>2600</v>
      </c>
      <c r="J211" s="136"/>
      <c r="K211" s="233"/>
      <c r="L211" s="315">
        <f>I211+J211+K211</f>
        <v>2600</v>
      </c>
      <c r="M211" s="274">
        <f>500</f>
        <v>500</v>
      </c>
      <c r="N211" s="193"/>
      <c r="O211" s="295">
        <f>L211+M211+N211</f>
        <v>3100</v>
      </c>
      <c r="P211" s="326"/>
      <c r="Q211" s="330">
        <f t="shared" si="48"/>
        <v>3100</v>
      </c>
      <c r="R211" s="351">
        <v>3099.38</v>
      </c>
      <c r="S211" s="340">
        <f t="shared" si="63"/>
        <v>99.98</v>
      </c>
    </row>
    <row r="212" spans="1:20" ht="12.75">
      <c r="A212" s="10" t="s">
        <v>219</v>
      </c>
      <c r="B212" s="64"/>
      <c r="C212" s="75">
        <f aca="true" t="shared" si="64" ref="C212:O212">C213+C242</f>
        <v>2130.7</v>
      </c>
      <c r="D212" s="185">
        <f t="shared" si="64"/>
        <v>60764.740000000005</v>
      </c>
      <c r="E212" s="156">
        <f t="shared" si="64"/>
        <v>0</v>
      </c>
      <c r="F212" s="77">
        <f t="shared" si="64"/>
        <v>62895.44</v>
      </c>
      <c r="G212" s="75">
        <f t="shared" si="64"/>
        <v>86601.94</v>
      </c>
      <c r="H212" s="185">
        <f t="shared" si="64"/>
        <v>0</v>
      </c>
      <c r="I212" s="77">
        <f t="shared" si="64"/>
        <v>149497.38</v>
      </c>
      <c r="J212" s="141">
        <f t="shared" si="64"/>
        <v>2185.9</v>
      </c>
      <c r="K212" s="230">
        <f t="shared" si="64"/>
        <v>0</v>
      </c>
      <c r="L212" s="217">
        <f t="shared" si="64"/>
        <v>151683.28</v>
      </c>
      <c r="M212" s="230">
        <f t="shared" si="64"/>
        <v>0</v>
      </c>
      <c r="N212" s="209">
        <f t="shared" si="64"/>
        <v>0</v>
      </c>
      <c r="O212" s="228">
        <f t="shared" si="64"/>
        <v>151683.28</v>
      </c>
      <c r="P212" s="75">
        <f>P213+P242</f>
        <v>23722.52</v>
      </c>
      <c r="Q212" s="77">
        <f>Q213+Q242</f>
        <v>175405.8</v>
      </c>
      <c r="R212" s="346">
        <f>R213+R242</f>
        <v>126081.27000000002</v>
      </c>
      <c r="S212" s="337">
        <f t="shared" si="63"/>
        <v>71.87976110254053</v>
      </c>
      <c r="T212" s="120"/>
    </row>
    <row r="213" spans="1:20" ht="12.75">
      <c r="A213" s="19" t="s">
        <v>59</v>
      </c>
      <c r="B213" s="64"/>
      <c r="C213" s="84">
        <f aca="true" t="shared" si="65" ref="C213:O213">SUM(C215:C241)</f>
        <v>2130.7</v>
      </c>
      <c r="D213" s="191">
        <f t="shared" si="65"/>
        <v>48664.740000000005</v>
      </c>
      <c r="E213" s="160">
        <f t="shared" si="65"/>
        <v>0</v>
      </c>
      <c r="F213" s="85">
        <f t="shared" si="65"/>
        <v>50795.44</v>
      </c>
      <c r="G213" s="84">
        <f t="shared" si="65"/>
        <v>2000</v>
      </c>
      <c r="H213" s="191">
        <f t="shared" si="65"/>
        <v>0</v>
      </c>
      <c r="I213" s="85">
        <f t="shared" si="65"/>
        <v>52795.44</v>
      </c>
      <c r="J213" s="146">
        <f t="shared" si="65"/>
        <v>2185.9</v>
      </c>
      <c r="K213" s="235">
        <f t="shared" si="65"/>
        <v>0</v>
      </c>
      <c r="L213" s="282">
        <f t="shared" si="65"/>
        <v>54981.340000000004</v>
      </c>
      <c r="M213" s="235">
        <f t="shared" si="65"/>
        <v>0</v>
      </c>
      <c r="N213" s="214">
        <f t="shared" si="65"/>
        <v>0</v>
      </c>
      <c r="O213" s="244">
        <f t="shared" si="65"/>
        <v>54981.340000000004</v>
      </c>
      <c r="P213" s="84">
        <f>SUM(P215:P241)</f>
        <v>3865.15</v>
      </c>
      <c r="Q213" s="85">
        <f>SUM(Q215:Q241)</f>
        <v>58846.490000000005</v>
      </c>
      <c r="R213" s="349">
        <f>SUM(R215:R241)</f>
        <v>52447.51000000001</v>
      </c>
      <c r="S213" s="344">
        <f t="shared" si="63"/>
        <v>89.12597845682896</v>
      </c>
      <c r="T213" s="120"/>
    </row>
    <row r="214" spans="1:19" ht="12.75">
      <c r="A214" s="11" t="s">
        <v>31</v>
      </c>
      <c r="B214" s="60"/>
      <c r="C214" s="80"/>
      <c r="D214" s="189"/>
      <c r="E214" s="158"/>
      <c r="F214" s="81"/>
      <c r="G214" s="144"/>
      <c r="H214" s="212"/>
      <c r="I214" s="125"/>
      <c r="J214" s="144"/>
      <c r="K214" s="232"/>
      <c r="L214" s="280"/>
      <c r="M214" s="272"/>
      <c r="N214" s="189"/>
      <c r="O214" s="294"/>
      <c r="P214" s="323"/>
      <c r="Q214" s="329"/>
      <c r="R214" s="345"/>
      <c r="S214" s="338"/>
    </row>
    <row r="215" spans="1:20" ht="12.75">
      <c r="A215" s="13" t="s">
        <v>62</v>
      </c>
      <c r="B215" s="60"/>
      <c r="C215" s="79">
        <v>2130.7</v>
      </c>
      <c r="D215" s="186">
        <f>-100+4449.54</f>
        <v>4349.54</v>
      </c>
      <c r="E215" s="157"/>
      <c r="F215" s="78">
        <f aca="true" t="shared" si="66" ref="F215:F241">C215+D215+E215</f>
        <v>6480.24</v>
      </c>
      <c r="G215" s="142"/>
      <c r="H215" s="210"/>
      <c r="I215" s="124">
        <f>F215+G215+H215</f>
        <v>6480.24</v>
      </c>
      <c r="J215" s="262"/>
      <c r="K215" s="231"/>
      <c r="L215" s="279">
        <f>I215+J215+K215</f>
        <v>6480.24</v>
      </c>
      <c r="M215" s="320"/>
      <c r="N215" s="186"/>
      <c r="O215" s="293">
        <f>L215+M215+N215</f>
        <v>6480.24</v>
      </c>
      <c r="P215" s="323">
        <v>-400</v>
      </c>
      <c r="Q215" s="329">
        <f t="shared" si="48"/>
        <v>6080.24</v>
      </c>
      <c r="R215" s="363">
        <v>5319.13</v>
      </c>
      <c r="S215" s="338">
        <f t="shared" si="63"/>
        <v>87.48223754325488</v>
      </c>
      <c r="T215" s="120"/>
    </row>
    <row r="216" spans="1:19" ht="12.75">
      <c r="A216" s="61" t="s">
        <v>406</v>
      </c>
      <c r="B216" s="60">
        <v>5100</v>
      </c>
      <c r="C216" s="79"/>
      <c r="D216" s="186">
        <f>19935.1</f>
        <v>19935.1</v>
      </c>
      <c r="E216" s="157"/>
      <c r="F216" s="78">
        <f t="shared" si="66"/>
        <v>19935.1</v>
      </c>
      <c r="G216" s="142"/>
      <c r="H216" s="210"/>
      <c r="I216" s="124">
        <f aca="true" t="shared" si="67" ref="I216:I240">F216+G216+H216</f>
        <v>19935.1</v>
      </c>
      <c r="J216" s="142"/>
      <c r="K216" s="231"/>
      <c r="L216" s="279">
        <f aca="true" t="shared" si="68" ref="L216:L241">I216+J216+K216</f>
        <v>19935.1</v>
      </c>
      <c r="M216" s="225"/>
      <c r="N216" s="186"/>
      <c r="O216" s="293">
        <f aca="true" t="shared" si="69" ref="O216:O241">L216+M216+N216</f>
        <v>19935.1</v>
      </c>
      <c r="P216" s="323"/>
      <c r="Q216" s="329">
        <f t="shared" si="48"/>
        <v>19935.1</v>
      </c>
      <c r="R216" s="345">
        <v>19935.1</v>
      </c>
      <c r="S216" s="338">
        <f t="shared" si="63"/>
        <v>100</v>
      </c>
    </row>
    <row r="217" spans="1:19" ht="12.75" hidden="1">
      <c r="A217" s="61" t="s">
        <v>163</v>
      </c>
      <c r="B217" s="60"/>
      <c r="C217" s="79"/>
      <c r="D217" s="186"/>
      <c r="E217" s="157"/>
      <c r="F217" s="78">
        <f t="shared" si="66"/>
        <v>0</v>
      </c>
      <c r="G217" s="142"/>
      <c r="H217" s="210"/>
      <c r="I217" s="124">
        <f t="shared" si="67"/>
        <v>0</v>
      </c>
      <c r="J217" s="142"/>
      <c r="K217" s="231"/>
      <c r="L217" s="279">
        <f t="shared" si="68"/>
        <v>0</v>
      </c>
      <c r="M217" s="225"/>
      <c r="N217" s="186"/>
      <c r="O217" s="293">
        <f t="shared" si="69"/>
        <v>0</v>
      </c>
      <c r="P217" s="323"/>
      <c r="Q217" s="329">
        <f t="shared" si="48"/>
        <v>0</v>
      </c>
      <c r="R217" s="345"/>
      <c r="S217" s="338" t="e">
        <f t="shared" si="63"/>
        <v>#DIV/0!</v>
      </c>
    </row>
    <row r="218" spans="1:19" ht="12.75" hidden="1">
      <c r="A218" s="61" t="s">
        <v>316</v>
      </c>
      <c r="B218" s="60">
        <v>5200</v>
      </c>
      <c r="C218" s="79"/>
      <c r="D218" s="186"/>
      <c r="E218" s="157"/>
      <c r="F218" s="78">
        <f t="shared" si="66"/>
        <v>0</v>
      </c>
      <c r="G218" s="142"/>
      <c r="H218" s="210"/>
      <c r="I218" s="124">
        <f t="shared" si="67"/>
        <v>0</v>
      </c>
      <c r="J218" s="142"/>
      <c r="K218" s="231"/>
      <c r="L218" s="279">
        <f t="shared" si="68"/>
        <v>0</v>
      </c>
      <c r="M218" s="225"/>
      <c r="N218" s="186"/>
      <c r="O218" s="293">
        <f t="shared" si="69"/>
        <v>0</v>
      </c>
      <c r="P218" s="323"/>
      <c r="Q218" s="329">
        <f t="shared" si="48"/>
        <v>0</v>
      </c>
      <c r="R218" s="345"/>
      <c r="S218" s="338" t="e">
        <f t="shared" si="63"/>
        <v>#DIV/0!</v>
      </c>
    </row>
    <row r="219" spans="1:19" ht="12.75" hidden="1">
      <c r="A219" s="61" t="s">
        <v>164</v>
      </c>
      <c r="B219" s="60"/>
      <c r="C219" s="79"/>
      <c r="D219" s="186"/>
      <c r="E219" s="157"/>
      <c r="F219" s="78">
        <f t="shared" si="66"/>
        <v>0</v>
      </c>
      <c r="G219" s="142"/>
      <c r="H219" s="210"/>
      <c r="I219" s="124">
        <f t="shared" si="67"/>
        <v>0</v>
      </c>
      <c r="J219" s="142"/>
      <c r="K219" s="231"/>
      <c r="L219" s="279">
        <f t="shared" si="68"/>
        <v>0</v>
      </c>
      <c r="M219" s="225"/>
      <c r="N219" s="186"/>
      <c r="O219" s="293">
        <f t="shared" si="69"/>
        <v>0</v>
      </c>
      <c r="P219" s="323"/>
      <c r="Q219" s="329">
        <f t="shared" si="48"/>
        <v>0</v>
      </c>
      <c r="R219" s="345"/>
      <c r="S219" s="338" t="e">
        <f t="shared" si="63"/>
        <v>#DIV/0!</v>
      </c>
    </row>
    <row r="220" spans="1:19" ht="12.75" hidden="1">
      <c r="A220" s="61" t="s">
        <v>317</v>
      </c>
      <c r="B220" s="60">
        <v>2400</v>
      </c>
      <c r="C220" s="79"/>
      <c r="D220" s="186"/>
      <c r="E220" s="157"/>
      <c r="F220" s="78">
        <f t="shared" si="66"/>
        <v>0</v>
      </c>
      <c r="G220" s="142"/>
      <c r="H220" s="210"/>
      <c r="I220" s="124">
        <f t="shared" si="67"/>
        <v>0</v>
      </c>
      <c r="J220" s="142"/>
      <c r="K220" s="231"/>
      <c r="L220" s="279">
        <f t="shared" si="68"/>
        <v>0</v>
      </c>
      <c r="M220" s="225"/>
      <c r="N220" s="186"/>
      <c r="O220" s="293"/>
      <c r="P220" s="323"/>
      <c r="Q220" s="329"/>
      <c r="R220" s="345"/>
      <c r="S220" s="338" t="e">
        <f t="shared" si="63"/>
        <v>#DIV/0!</v>
      </c>
    </row>
    <row r="221" spans="1:19" ht="12.75" hidden="1">
      <c r="A221" s="61" t="s">
        <v>270</v>
      </c>
      <c r="B221" s="60"/>
      <c r="C221" s="79"/>
      <c r="D221" s="186"/>
      <c r="E221" s="157"/>
      <c r="F221" s="78">
        <f t="shared" si="66"/>
        <v>0</v>
      </c>
      <c r="G221" s="142"/>
      <c r="H221" s="210"/>
      <c r="I221" s="124">
        <f t="shared" si="67"/>
        <v>0</v>
      </c>
      <c r="J221" s="142"/>
      <c r="K221" s="231"/>
      <c r="L221" s="279">
        <f t="shared" si="68"/>
        <v>0</v>
      </c>
      <c r="M221" s="225"/>
      <c r="N221" s="186"/>
      <c r="O221" s="293"/>
      <c r="P221" s="323"/>
      <c r="Q221" s="329"/>
      <c r="R221" s="345"/>
      <c r="S221" s="338" t="e">
        <f t="shared" si="63"/>
        <v>#DIV/0!</v>
      </c>
    </row>
    <row r="222" spans="1:19" ht="12.75" hidden="1">
      <c r="A222" s="61" t="s">
        <v>318</v>
      </c>
      <c r="B222" s="60">
        <v>3800</v>
      </c>
      <c r="C222" s="79"/>
      <c r="D222" s="186"/>
      <c r="E222" s="157"/>
      <c r="F222" s="78">
        <f t="shared" si="66"/>
        <v>0</v>
      </c>
      <c r="G222" s="142"/>
      <c r="H222" s="210"/>
      <c r="I222" s="124">
        <f t="shared" si="67"/>
        <v>0</v>
      </c>
      <c r="J222" s="142"/>
      <c r="K222" s="231"/>
      <c r="L222" s="279">
        <f t="shared" si="68"/>
        <v>0</v>
      </c>
      <c r="M222" s="225"/>
      <c r="N222" s="186"/>
      <c r="O222" s="293"/>
      <c r="P222" s="323"/>
      <c r="Q222" s="329"/>
      <c r="R222" s="345"/>
      <c r="S222" s="338" t="e">
        <f t="shared" si="63"/>
        <v>#DIV/0!</v>
      </c>
    </row>
    <row r="223" spans="1:19" ht="12.75">
      <c r="A223" s="61" t="s">
        <v>407</v>
      </c>
      <c r="B223" s="60">
        <v>3500</v>
      </c>
      <c r="C223" s="79"/>
      <c r="D223" s="186">
        <f>74.36</f>
        <v>74.36</v>
      </c>
      <c r="E223" s="157"/>
      <c r="F223" s="78">
        <f t="shared" si="66"/>
        <v>74.36</v>
      </c>
      <c r="G223" s="142"/>
      <c r="H223" s="210"/>
      <c r="I223" s="124">
        <f t="shared" si="67"/>
        <v>74.36</v>
      </c>
      <c r="J223" s="142"/>
      <c r="K223" s="231"/>
      <c r="L223" s="279">
        <f t="shared" si="68"/>
        <v>74.36</v>
      </c>
      <c r="M223" s="225"/>
      <c r="N223" s="186"/>
      <c r="O223" s="293">
        <f t="shared" si="69"/>
        <v>74.36</v>
      </c>
      <c r="P223" s="323"/>
      <c r="Q223" s="329">
        <f t="shared" si="48"/>
        <v>74.36</v>
      </c>
      <c r="R223" s="345">
        <v>74.36</v>
      </c>
      <c r="S223" s="338">
        <f t="shared" si="63"/>
        <v>100</v>
      </c>
    </row>
    <row r="224" spans="1:19" ht="12.75" hidden="1">
      <c r="A224" s="61" t="s">
        <v>239</v>
      </c>
      <c r="B224" s="60"/>
      <c r="C224" s="79"/>
      <c r="D224" s="186"/>
      <c r="E224" s="157"/>
      <c r="F224" s="78">
        <f t="shared" si="66"/>
        <v>0</v>
      </c>
      <c r="G224" s="142"/>
      <c r="H224" s="210"/>
      <c r="I224" s="124">
        <f t="shared" si="67"/>
        <v>0</v>
      </c>
      <c r="J224" s="142"/>
      <c r="K224" s="231"/>
      <c r="L224" s="279">
        <f t="shared" si="68"/>
        <v>0</v>
      </c>
      <c r="M224" s="225"/>
      <c r="N224" s="186"/>
      <c r="O224" s="293">
        <f t="shared" si="69"/>
        <v>0</v>
      </c>
      <c r="P224" s="323"/>
      <c r="Q224" s="329">
        <f t="shared" si="48"/>
        <v>0</v>
      </c>
      <c r="R224" s="345"/>
      <c r="S224" s="338" t="e">
        <f t="shared" si="63"/>
        <v>#DIV/0!</v>
      </c>
    </row>
    <row r="225" spans="1:19" ht="12.75" hidden="1">
      <c r="A225" s="61" t="s">
        <v>319</v>
      </c>
      <c r="B225" s="60">
        <v>1500</v>
      </c>
      <c r="C225" s="79"/>
      <c r="D225" s="186"/>
      <c r="E225" s="157"/>
      <c r="F225" s="78">
        <f t="shared" si="66"/>
        <v>0</v>
      </c>
      <c r="G225" s="142"/>
      <c r="H225" s="210"/>
      <c r="I225" s="124">
        <f t="shared" si="67"/>
        <v>0</v>
      </c>
      <c r="J225" s="142"/>
      <c r="K225" s="231"/>
      <c r="L225" s="279">
        <f t="shared" si="68"/>
        <v>0</v>
      </c>
      <c r="M225" s="225"/>
      <c r="N225" s="186"/>
      <c r="O225" s="293">
        <f t="shared" si="69"/>
        <v>0</v>
      </c>
      <c r="P225" s="323"/>
      <c r="Q225" s="329">
        <f t="shared" si="48"/>
        <v>0</v>
      </c>
      <c r="R225" s="345"/>
      <c r="S225" s="338" t="e">
        <f t="shared" si="63"/>
        <v>#DIV/0!</v>
      </c>
    </row>
    <row r="226" spans="1:19" ht="12.75" hidden="1">
      <c r="A226" s="61" t="s">
        <v>181</v>
      </c>
      <c r="B226" s="60"/>
      <c r="C226" s="79"/>
      <c r="D226" s="186"/>
      <c r="E226" s="157"/>
      <c r="F226" s="78">
        <f t="shared" si="66"/>
        <v>0</v>
      </c>
      <c r="G226" s="142"/>
      <c r="H226" s="210"/>
      <c r="I226" s="124">
        <f t="shared" si="67"/>
        <v>0</v>
      </c>
      <c r="J226" s="142"/>
      <c r="K226" s="231"/>
      <c r="L226" s="279">
        <f t="shared" si="68"/>
        <v>0</v>
      </c>
      <c r="M226" s="225"/>
      <c r="N226" s="186"/>
      <c r="O226" s="293">
        <f t="shared" si="69"/>
        <v>0</v>
      </c>
      <c r="P226" s="323"/>
      <c r="Q226" s="329">
        <f aca="true" t="shared" si="70" ref="Q226:Q295">O226+P226</f>
        <v>0</v>
      </c>
      <c r="R226" s="345"/>
      <c r="S226" s="338" t="e">
        <f t="shared" si="63"/>
        <v>#DIV/0!</v>
      </c>
    </row>
    <row r="227" spans="1:19" ht="12.75" hidden="1">
      <c r="A227" s="61" t="s">
        <v>320</v>
      </c>
      <c r="B227" s="60">
        <v>3600</v>
      </c>
      <c r="C227" s="79"/>
      <c r="D227" s="186"/>
      <c r="E227" s="157"/>
      <c r="F227" s="78">
        <f t="shared" si="66"/>
        <v>0</v>
      </c>
      <c r="G227" s="142"/>
      <c r="H227" s="210"/>
      <c r="I227" s="124">
        <f t="shared" si="67"/>
        <v>0</v>
      </c>
      <c r="J227" s="142"/>
      <c r="K227" s="231"/>
      <c r="L227" s="279">
        <f t="shared" si="68"/>
        <v>0</v>
      </c>
      <c r="M227" s="225"/>
      <c r="N227" s="186"/>
      <c r="O227" s="293">
        <f t="shared" si="69"/>
        <v>0</v>
      </c>
      <c r="P227" s="323"/>
      <c r="Q227" s="329">
        <f t="shared" si="70"/>
        <v>0</v>
      </c>
      <c r="R227" s="345"/>
      <c r="S227" s="338" t="e">
        <f t="shared" si="63"/>
        <v>#DIV/0!</v>
      </c>
    </row>
    <row r="228" spans="1:19" ht="12.75" hidden="1">
      <c r="A228" s="61" t="s">
        <v>182</v>
      </c>
      <c r="B228" s="60"/>
      <c r="C228" s="79"/>
      <c r="D228" s="186"/>
      <c r="E228" s="157"/>
      <c r="F228" s="78">
        <f t="shared" si="66"/>
        <v>0</v>
      </c>
      <c r="G228" s="142"/>
      <c r="H228" s="210"/>
      <c r="I228" s="124">
        <f t="shared" si="67"/>
        <v>0</v>
      </c>
      <c r="J228" s="142"/>
      <c r="K228" s="231"/>
      <c r="L228" s="279">
        <f t="shared" si="68"/>
        <v>0</v>
      </c>
      <c r="M228" s="225"/>
      <c r="N228" s="186"/>
      <c r="O228" s="293">
        <f t="shared" si="69"/>
        <v>0</v>
      </c>
      <c r="P228" s="323"/>
      <c r="Q228" s="329">
        <f t="shared" si="70"/>
        <v>0</v>
      </c>
      <c r="R228" s="345"/>
      <c r="S228" s="338" t="e">
        <f t="shared" si="63"/>
        <v>#DIV/0!</v>
      </c>
    </row>
    <row r="229" spans="1:19" ht="12.75" hidden="1">
      <c r="A229" s="61" t="s">
        <v>271</v>
      </c>
      <c r="B229" s="60">
        <v>4000</v>
      </c>
      <c r="C229" s="79"/>
      <c r="D229" s="186"/>
      <c r="E229" s="157"/>
      <c r="F229" s="78">
        <f t="shared" si="66"/>
        <v>0</v>
      </c>
      <c r="G229" s="142"/>
      <c r="H229" s="210"/>
      <c r="I229" s="124">
        <f t="shared" si="67"/>
        <v>0</v>
      </c>
      <c r="J229" s="142"/>
      <c r="K229" s="231"/>
      <c r="L229" s="279">
        <f t="shared" si="68"/>
        <v>0</v>
      </c>
      <c r="M229" s="225"/>
      <c r="N229" s="186"/>
      <c r="O229" s="293">
        <f t="shared" si="69"/>
        <v>0</v>
      </c>
      <c r="P229" s="323"/>
      <c r="Q229" s="329">
        <f t="shared" si="70"/>
        <v>0</v>
      </c>
      <c r="R229" s="345"/>
      <c r="S229" s="338" t="e">
        <f t="shared" si="63"/>
        <v>#DIV/0!</v>
      </c>
    </row>
    <row r="230" spans="1:19" ht="12.75" hidden="1">
      <c r="A230" s="61" t="s">
        <v>173</v>
      </c>
      <c r="B230" s="60"/>
      <c r="C230" s="79"/>
      <c r="D230" s="186"/>
      <c r="E230" s="157"/>
      <c r="F230" s="78">
        <f t="shared" si="66"/>
        <v>0</v>
      </c>
      <c r="G230" s="142"/>
      <c r="H230" s="210"/>
      <c r="I230" s="124">
        <f t="shared" si="67"/>
        <v>0</v>
      </c>
      <c r="J230" s="142"/>
      <c r="K230" s="231"/>
      <c r="L230" s="279">
        <f t="shared" si="68"/>
        <v>0</v>
      </c>
      <c r="M230" s="225"/>
      <c r="N230" s="186"/>
      <c r="O230" s="293">
        <f t="shared" si="69"/>
        <v>0</v>
      </c>
      <c r="P230" s="323"/>
      <c r="Q230" s="329">
        <f t="shared" si="70"/>
        <v>0</v>
      </c>
      <c r="R230" s="345"/>
      <c r="S230" s="338" t="e">
        <f t="shared" si="63"/>
        <v>#DIV/0!</v>
      </c>
    </row>
    <row r="231" spans="1:19" ht="12.75">
      <c r="A231" s="61" t="s">
        <v>408</v>
      </c>
      <c r="B231" s="60">
        <v>2100</v>
      </c>
      <c r="C231" s="79"/>
      <c r="D231" s="186">
        <f>12418.15</f>
        <v>12418.15</v>
      </c>
      <c r="E231" s="157"/>
      <c r="F231" s="78">
        <f t="shared" si="66"/>
        <v>12418.15</v>
      </c>
      <c r="G231" s="142"/>
      <c r="H231" s="210"/>
      <c r="I231" s="124">
        <f t="shared" si="67"/>
        <v>12418.15</v>
      </c>
      <c r="J231" s="142"/>
      <c r="K231" s="231"/>
      <c r="L231" s="279">
        <f t="shared" si="68"/>
        <v>12418.15</v>
      </c>
      <c r="M231" s="225"/>
      <c r="N231" s="186"/>
      <c r="O231" s="293">
        <f t="shared" si="69"/>
        <v>12418.15</v>
      </c>
      <c r="P231" s="323"/>
      <c r="Q231" s="329">
        <f t="shared" si="70"/>
        <v>12418.15</v>
      </c>
      <c r="R231" s="345">
        <v>12413.6</v>
      </c>
      <c r="S231" s="338">
        <f t="shared" si="63"/>
        <v>99.96336008181574</v>
      </c>
    </row>
    <row r="232" spans="1:19" ht="12.75" hidden="1">
      <c r="A232" s="61" t="s">
        <v>322</v>
      </c>
      <c r="B232" s="60">
        <v>4100</v>
      </c>
      <c r="C232" s="79"/>
      <c r="D232" s="186"/>
      <c r="E232" s="157"/>
      <c r="F232" s="78">
        <f t="shared" si="66"/>
        <v>0</v>
      </c>
      <c r="G232" s="142"/>
      <c r="H232" s="210"/>
      <c r="I232" s="124">
        <f t="shared" si="67"/>
        <v>0</v>
      </c>
      <c r="J232" s="142"/>
      <c r="K232" s="231"/>
      <c r="L232" s="279">
        <f t="shared" si="68"/>
        <v>0</v>
      </c>
      <c r="M232" s="225"/>
      <c r="N232" s="186"/>
      <c r="O232" s="293">
        <f t="shared" si="69"/>
        <v>0</v>
      </c>
      <c r="P232" s="323"/>
      <c r="Q232" s="329">
        <f t="shared" si="70"/>
        <v>0</v>
      </c>
      <c r="R232" s="345"/>
      <c r="S232" s="338" t="e">
        <f t="shared" si="63"/>
        <v>#DIV/0!</v>
      </c>
    </row>
    <row r="233" spans="1:19" ht="12.75" hidden="1">
      <c r="A233" s="61" t="s">
        <v>178</v>
      </c>
      <c r="B233" s="60"/>
      <c r="C233" s="79"/>
      <c r="D233" s="186"/>
      <c r="E233" s="157"/>
      <c r="F233" s="78">
        <f t="shared" si="66"/>
        <v>0</v>
      </c>
      <c r="G233" s="142"/>
      <c r="H233" s="210"/>
      <c r="I233" s="124">
        <f t="shared" si="67"/>
        <v>0</v>
      </c>
      <c r="J233" s="142"/>
      <c r="K233" s="231"/>
      <c r="L233" s="279">
        <f t="shared" si="68"/>
        <v>0</v>
      </c>
      <c r="M233" s="225"/>
      <c r="N233" s="186"/>
      <c r="O233" s="293">
        <f t="shared" si="69"/>
        <v>0</v>
      </c>
      <c r="P233" s="323"/>
      <c r="Q233" s="329">
        <f t="shared" si="70"/>
        <v>0</v>
      </c>
      <c r="R233" s="345"/>
      <c r="S233" s="338" t="e">
        <f t="shared" si="63"/>
        <v>#DIV/0!</v>
      </c>
    </row>
    <row r="234" spans="1:19" ht="12.75">
      <c r="A234" s="61" t="s">
        <v>409</v>
      </c>
      <c r="B234" s="60">
        <v>2200</v>
      </c>
      <c r="C234" s="79"/>
      <c r="D234" s="186">
        <f>1034.9</f>
        <v>1034.9</v>
      </c>
      <c r="E234" s="157"/>
      <c r="F234" s="78">
        <f t="shared" si="66"/>
        <v>1034.9</v>
      </c>
      <c r="G234" s="142"/>
      <c r="H234" s="210"/>
      <c r="I234" s="124">
        <f t="shared" si="67"/>
        <v>1034.9</v>
      </c>
      <c r="J234" s="142"/>
      <c r="K234" s="231"/>
      <c r="L234" s="279">
        <f t="shared" si="68"/>
        <v>1034.9</v>
      </c>
      <c r="M234" s="225"/>
      <c r="N234" s="186"/>
      <c r="O234" s="293">
        <f t="shared" si="69"/>
        <v>1034.9</v>
      </c>
      <c r="P234" s="323"/>
      <c r="Q234" s="329">
        <f t="shared" si="70"/>
        <v>1034.9</v>
      </c>
      <c r="R234" s="345">
        <v>1034.49</v>
      </c>
      <c r="S234" s="338">
        <f t="shared" si="63"/>
        <v>99.96038264566623</v>
      </c>
    </row>
    <row r="235" spans="1:19" ht="12.75" hidden="1">
      <c r="A235" s="61" t="s">
        <v>272</v>
      </c>
      <c r="B235" s="60">
        <v>4200</v>
      </c>
      <c r="C235" s="79"/>
      <c r="D235" s="186"/>
      <c r="E235" s="157"/>
      <c r="F235" s="78">
        <f t="shared" si="66"/>
        <v>0</v>
      </c>
      <c r="G235" s="142"/>
      <c r="H235" s="210"/>
      <c r="I235" s="124">
        <f t="shared" si="67"/>
        <v>0</v>
      </c>
      <c r="J235" s="142"/>
      <c r="K235" s="231"/>
      <c r="L235" s="279">
        <f t="shared" si="68"/>
        <v>0</v>
      </c>
      <c r="M235" s="225"/>
      <c r="N235" s="186"/>
      <c r="O235" s="293">
        <f t="shared" si="69"/>
        <v>0</v>
      </c>
      <c r="P235" s="323"/>
      <c r="Q235" s="329">
        <f t="shared" si="70"/>
        <v>0</v>
      </c>
      <c r="R235" s="345"/>
      <c r="S235" s="338" t="e">
        <f t="shared" si="63"/>
        <v>#DIV/0!</v>
      </c>
    </row>
    <row r="236" spans="1:19" ht="12.75" hidden="1">
      <c r="A236" s="61" t="s">
        <v>172</v>
      </c>
      <c r="B236" s="60"/>
      <c r="C236" s="79"/>
      <c r="D236" s="186"/>
      <c r="E236" s="157"/>
      <c r="F236" s="78">
        <f t="shared" si="66"/>
        <v>0</v>
      </c>
      <c r="G236" s="142"/>
      <c r="H236" s="210"/>
      <c r="I236" s="124">
        <f t="shared" si="67"/>
        <v>0</v>
      </c>
      <c r="J236" s="142"/>
      <c r="K236" s="231"/>
      <c r="L236" s="279">
        <f t="shared" si="68"/>
        <v>0</v>
      </c>
      <c r="M236" s="225"/>
      <c r="N236" s="186"/>
      <c r="O236" s="293">
        <f t="shared" si="69"/>
        <v>0</v>
      </c>
      <c r="P236" s="323"/>
      <c r="Q236" s="329">
        <f t="shared" si="70"/>
        <v>0</v>
      </c>
      <c r="R236" s="345"/>
      <c r="S236" s="338" t="e">
        <f t="shared" si="63"/>
        <v>#DIV/0!</v>
      </c>
    </row>
    <row r="237" spans="1:19" ht="12.75">
      <c r="A237" s="61" t="s">
        <v>410</v>
      </c>
      <c r="B237" s="60">
        <v>2300</v>
      </c>
      <c r="C237" s="79"/>
      <c r="D237" s="186">
        <f>6282.69</f>
        <v>6282.69</v>
      </c>
      <c r="E237" s="157"/>
      <c r="F237" s="78">
        <f t="shared" si="66"/>
        <v>6282.69</v>
      </c>
      <c r="G237" s="142"/>
      <c r="H237" s="210"/>
      <c r="I237" s="124">
        <f t="shared" si="67"/>
        <v>6282.69</v>
      </c>
      <c r="J237" s="142"/>
      <c r="K237" s="231"/>
      <c r="L237" s="279">
        <f t="shared" si="68"/>
        <v>6282.69</v>
      </c>
      <c r="M237" s="225"/>
      <c r="N237" s="186"/>
      <c r="O237" s="293">
        <f t="shared" si="69"/>
        <v>6282.69</v>
      </c>
      <c r="P237" s="323"/>
      <c r="Q237" s="329">
        <f t="shared" si="70"/>
        <v>6282.69</v>
      </c>
      <c r="R237" s="345">
        <v>6270.12</v>
      </c>
      <c r="S237" s="338">
        <f t="shared" si="63"/>
        <v>99.79992646461946</v>
      </c>
    </row>
    <row r="238" spans="1:19" ht="12.75">
      <c r="A238" s="61" t="s">
        <v>414</v>
      </c>
      <c r="B238" s="60">
        <v>4200</v>
      </c>
      <c r="C238" s="79"/>
      <c r="D238" s="186"/>
      <c r="E238" s="157"/>
      <c r="F238" s="78"/>
      <c r="G238" s="142"/>
      <c r="H238" s="210"/>
      <c r="I238" s="124"/>
      <c r="J238" s="142"/>
      <c r="K238" s="231"/>
      <c r="L238" s="279"/>
      <c r="M238" s="225"/>
      <c r="N238" s="186"/>
      <c r="O238" s="293">
        <f t="shared" si="69"/>
        <v>0</v>
      </c>
      <c r="P238" s="323">
        <f>3462.05</f>
        <v>3462.05</v>
      </c>
      <c r="Q238" s="329">
        <f t="shared" si="70"/>
        <v>3462.05</v>
      </c>
      <c r="R238" s="345"/>
      <c r="S238" s="361" t="s">
        <v>400</v>
      </c>
    </row>
    <row r="239" spans="1:19" ht="12.75">
      <c r="A239" s="61" t="s">
        <v>366</v>
      </c>
      <c r="B239" s="60">
        <v>5400</v>
      </c>
      <c r="C239" s="79"/>
      <c r="D239" s="186"/>
      <c r="E239" s="157"/>
      <c r="F239" s="78"/>
      <c r="G239" s="142"/>
      <c r="H239" s="210"/>
      <c r="I239" s="124">
        <f t="shared" si="67"/>
        <v>0</v>
      </c>
      <c r="J239" s="142">
        <v>2185.9</v>
      </c>
      <c r="K239" s="231"/>
      <c r="L239" s="279">
        <f t="shared" si="68"/>
        <v>2185.9</v>
      </c>
      <c r="M239" s="225"/>
      <c r="N239" s="186"/>
      <c r="O239" s="293">
        <f t="shared" si="69"/>
        <v>2185.9</v>
      </c>
      <c r="P239" s="323"/>
      <c r="Q239" s="329">
        <f t="shared" si="70"/>
        <v>2185.9</v>
      </c>
      <c r="R239" s="345">
        <v>2158.04</v>
      </c>
      <c r="S239" s="338">
        <f t="shared" si="63"/>
        <v>98.72546777071229</v>
      </c>
    </row>
    <row r="240" spans="1:19" ht="12.75">
      <c r="A240" s="61" t="s">
        <v>302</v>
      </c>
      <c r="B240" s="60">
        <v>15011</v>
      </c>
      <c r="C240" s="79"/>
      <c r="D240" s="186">
        <v>1000</v>
      </c>
      <c r="E240" s="157"/>
      <c r="F240" s="78">
        <f t="shared" si="66"/>
        <v>1000</v>
      </c>
      <c r="G240" s="142">
        <f>2000</f>
        <v>2000</v>
      </c>
      <c r="H240" s="210"/>
      <c r="I240" s="124">
        <f t="shared" si="67"/>
        <v>3000</v>
      </c>
      <c r="J240" s="142"/>
      <c r="K240" s="231"/>
      <c r="L240" s="279">
        <f t="shared" si="68"/>
        <v>3000</v>
      </c>
      <c r="M240" s="225"/>
      <c r="N240" s="186"/>
      <c r="O240" s="293">
        <f t="shared" si="69"/>
        <v>3000</v>
      </c>
      <c r="P240" s="323">
        <f>803.1</f>
        <v>803.1</v>
      </c>
      <c r="Q240" s="329">
        <f t="shared" si="70"/>
        <v>3803.1</v>
      </c>
      <c r="R240" s="345">
        <v>2910.26</v>
      </c>
      <c r="S240" s="338">
        <f t="shared" si="63"/>
        <v>76.52336252004945</v>
      </c>
    </row>
    <row r="241" spans="1:19" ht="12.75">
      <c r="A241" s="61" t="s">
        <v>93</v>
      </c>
      <c r="B241" s="122" t="s">
        <v>333</v>
      </c>
      <c r="C241" s="79"/>
      <c r="D241" s="186">
        <f>700+1000+1870</f>
        <v>3570</v>
      </c>
      <c r="E241" s="157"/>
      <c r="F241" s="78">
        <f t="shared" si="66"/>
        <v>3570</v>
      </c>
      <c r="G241" s="142"/>
      <c r="H241" s="210"/>
      <c r="I241" s="124">
        <f>F241+G241+H241</f>
        <v>3570</v>
      </c>
      <c r="J241" s="142"/>
      <c r="K241" s="231"/>
      <c r="L241" s="279">
        <f t="shared" si="68"/>
        <v>3570</v>
      </c>
      <c r="M241" s="225"/>
      <c r="N241" s="186"/>
      <c r="O241" s="293">
        <f t="shared" si="69"/>
        <v>3570</v>
      </c>
      <c r="P241" s="323"/>
      <c r="Q241" s="329">
        <f t="shared" si="70"/>
        <v>3570</v>
      </c>
      <c r="R241" s="363">
        <v>2332.41</v>
      </c>
      <c r="S241" s="338">
        <f t="shared" si="63"/>
        <v>65.33361344537815</v>
      </c>
    </row>
    <row r="242" spans="1:19" ht="12.75">
      <c r="A242" s="20" t="s">
        <v>65</v>
      </c>
      <c r="B242" s="64"/>
      <c r="C242" s="87">
        <f aca="true" t="shared" si="71" ref="C242:R242">SUM(C244:C254)</f>
        <v>0</v>
      </c>
      <c r="D242" s="192">
        <f t="shared" si="71"/>
        <v>12100</v>
      </c>
      <c r="E242" s="162">
        <f t="shared" si="71"/>
        <v>0</v>
      </c>
      <c r="F242" s="88">
        <f t="shared" si="71"/>
        <v>12100</v>
      </c>
      <c r="G242" s="87">
        <f t="shared" si="71"/>
        <v>84601.94</v>
      </c>
      <c r="H242" s="192">
        <f t="shared" si="71"/>
        <v>0</v>
      </c>
      <c r="I242" s="88">
        <f t="shared" si="71"/>
        <v>96701.94</v>
      </c>
      <c r="J242" s="263">
        <f t="shared" si="71"/>
        <v>0</v>
      </c>
      <c r="K242" s="256">
        <f t="shared" si="71"/>
        <v>0</v>
      </c>
      <c r="L242" s="283">
        <f t="shared" si="71"/>
        <v>96701.94</v>
      </c>
      <c r="M242" s="256">
        <f t="shared" si="71"/>
        <v>0</v>
      </c>
      <c r="N242" s="303">
        <f t="shared" si="71"/>
        <v>0</v>
      </c>
      <c r="O242" s="245">
        <f t="shared" si="71"/>
        <v>96701.94</v>
      </c>
      <c r="P242" s="87">
        <f t="shared" si="71"/>
        <v>19857.37</v>
      </c>
      <c r="Q242" s="88">
        <f t="shared" si="71"/>
        <v>116559.31</v>
      </c>
      <c r="R242" s="350">
        <f t="shared" si="71"/>
        <v>73633.76000000001</v>
      </c>
      <c r="S242" s="344">
        <f t="shared" si="63"/>
        <v>63.17278302350967</v>
      </c>
    </row>
    <row r="243" spans="1:19" ht="12.75">
      <c r="A243" s="22" t="s">
        <v>31</v>
      </c>
      <c r="B243" s="60"/>
      <c r="C243" s="79"/>
      <c r="D243" s="186"/>
      <c r="E243" s="157"/>
      <c r="F243" s="78"/>
      <c r="G243" s="142"/>
      <c r="H243" s="210"/>
      <c r="I243" s="124"/>
      <c r="J243" s="142"/>
      <c r="K243" s="231"/>
      <c r="L243" s="279"/>
      <c r="M243" s="225"/>
      <c r="N243" s="186"/>
      <c r="O243" s="293"/>
      <c r="P243" s="323"/>
      <c r="Q243" s="329"/>
      <c r="R243" s="345"/>
      <c r="S243" s="338"/>
    </row>
    <row r="244" spans="1:19" ht="12.75" hidden="1">
      <c r="A244" s="22" t="s">
        <v>315</v>
      </c>
      <c r="B244" s="60">
        <v>5100</v>
      </c>
      <c r="C244" s="79"/>
      <c r="D244" s="186"/>
      <c r="E244" s="157"/>
      <c r="F244" s="78">
        <f aca="true" t="shared" si="72" ref="F244:F254">C244+D244+E244</f>
        <v>0</v>
      </c>
      <c r="G244" s="142"/>
      <c r="H244" s="210"/>
      <c r="I244" s="124">
        <f aca="true" t="shared" si="73" ref="I244:I254">F244+G244+H244</f>
        <v>0</v>
      </c>
      <c r="J244" s="142"/>
      <c r="K244" s="231"/>
      <c r="L244" s="279">
        <f aca="true" t="shared" si="74" ref="L244:L254">I244+J244+K244</f>
        <v>0</v>
      </c>
      <c r="M244" s="225"/>
      <c r="N244" s="186"/>
      <c r="O244" s="293">
        <f aca="true" t="shared" si="75" ref="O244:O254">L244+M244+N244</f>
        <v>0</v>
      </c>
      <c r="P244" s="323"/>
      <c r="Q244" s="329">
        <f t="shared" si="70"/>
        <v>0</v>
      </c>
      <c r="R244" s="345"/>
      <c r="S244" s="338" t="e">
        <f t="shared" si="63"/>
        <v>#DIV/0!</v>
      </c>
    </row>
    <row r="245" spans="1:19" ht="12.75" hidden="1">
      <c r="A245" s="22" t="s">
        <v>273</v>
      </c>
      <c r="B245" s="60">
        <v>4000</v>
      </c>
      <c r="C245" s="79"/>
      <c r="D245" s="186"/>
      <c r="E245" s="157"/>
      <c r="F245" s="78">
        <f t="shared" si="72"/>
        <v>0</v>
      </c>
      <c r="G245" s="142"/>
      <c r="H245" s="210"/>
      <c r="I245" s="124">
        <f t="shared" si="73"/>
        <v>0</v>
      </c>
      <c r="J245" s="142"/>
      <c r="K245" s="231"/>
      <c r="L245" s="279">
        <f t="shared" si="74"/>
        <v>0</v>
      </c>
      <c r="M245" s="225"/>
      <c r="N245" s="186"/>
      <c r="O245" s="293">
        <f t="shared" si="75"/>
        <v>0</v>
      </c>
      <c r="P245" s="323"/>
      <c r="Q245" s="329">
        <f t="shared" si="70"/>
        <v>0</v>
      </c>
      <c r="R245" s="345"/>
      <c r="S245" s="338" t="e">
        <f t="shared" si="63"/>
        <v>#DIV/0!</v>
      </c>
    </row>
    <row r="246" spans="1:19" ht="12.75" hidden="1">
      <c r="A246" s="13" t="s">
        <v>321</v>
      </c>
      <c r="B246" s="60">
        <v>2100</v>
      </c>
      <c r="C246" s="79"/>
      <c r="D246" s="186"/>
      <c r="E246" s="157"/>
      <c r="F246" s="78">
        <f t="shared" si="72"/>
        <v>0</v>
      </c>
      <c r="G246" s="142"/>
      <c r="H246" s="210"/>
      <c r="I246" s="124">
        <f t="shared" si="73"/>
        <v>0</v>
      </c>
      <c r="J246" s="142"/>
      <c r="K246" s="231"/>
      <c r="L246" s="279">
        <f t="shared" si="74"/>
        <v>0</v>
      </c>
      <c r="M246" s="225"/>
      <c r="N246" s="186"/>
      <c r="O246" s="293">
        <f t="shared" si="75"/>
        <v>0</v>
      </c>
      <c r="P246" s="323"/>
      <c r="Q246" s="329">
        <f t="shared" si="70"/>
        <v>0</v>
      </c>
      <c r="R246" s="345"/>
      <c r="S246" s="338" t="e">
        <f t="shared" si="63"/>
        <v>#DIV/0!</v>
      </c>
    </row>
    <row r="247" spans="1:19" ht="12.75" hidden="1">
      <c r="A247" s="22" t="s">
        <v>274</v>
      </c>
      <c r="B247" s="60">
        <v>4100</v>
      </c>
      <c r="C247" s="79"/>
      <c r="D247" s="186"/>
      <c r="E247" s="157"/>
      <c r="F247" s="78">
        <f t="shared" si="72"/>
        <v>0</v>
      </c>
      <c r="G247" s="142"/>
      <c r="H247" s="210"/>
      <c r="I247" s="124">
        <f t="shared" si="73"/>
        <v>0</v>
      </c>
      <c r="J247" s="142"/>
      <c r="K247" s="231"/>
      <c r="L247" s="279">
        <f t="shared" si="74"/>
        <v>0</v>
      </c>
      <c r="M247" s="225"/>
      <c r="N247" s="186"/>
      <c r="O247" s="293">
        <f t="shared" si="75"/>
        <v>0</v>
      </c>
      <c r="P247" s="323"/>
      <c r="Q247" s="329">
        <f t="shared" si="70"/>
        <v>0</v>
      </c>
      <c r="R247" s="345"/>
      <c r="S247" s="338" t="e">
        <f t="shared" si="63"/>
        <v>#DIV/0!</v>
      </c>
    </row>
    <row r="248" spans="1:19" ht="12.75" hidden="1">
      <c r="A248" s="22" t="s">
        <v>323</v>
      </c>
      <c r="B248" s="60">
        <v>2200</v>
      </c>
      <c r="C248" s="79"/>
      <c r="D248" s="186"/>
      <c r="E248" s="157"/>
      <c r="F248" s="78">
        <f t="shared" si="72"/>
        <v>0</v>
      </c>
      <c r="G248" s="142"/>
      <c r="H248" s="210"/>
      <c r="I248" s="124">
        <f t="shared" si="73"/>
        <v>0</v>
      </c>
      <c r="J248" s="142"/>
      <c r="K248" s="231"/>
      <c r="L248" s="279">
        <f t="shared" si="74"/>
        <v>0</v>
      </c>
      <c r="M248" s="225"/>
      <c r="N248" s="186"/>
      <c r="O248" s="293">
        <f t="shared" si="75"/>
        <v>0</v>
      </c>
      <c r="P248" s="323"/>
      <c r="Q248" s="329">
        <f t="shared" si="70"/>
        <v>0</v>
      </c>
      <c r="R248" s="345"/>
      <c r="S248" s="338" t="e">
        <f t="shared" si="63"/>
        <v>#DIV/0!</v>
      </c>
    </row>
    <row r="249" spans="1:19" ht="12.75" hidden="1">
      <c r="A249" s="22" t="s">
        <v>275</v>
      </c>
      <c r="B249" s="60">
        <v>4200</v>
      </c>
      <c r="C249" s="79"/>
      <c r="D249" s="186"/>
      <c r="E249" s="157"/>
      <c r="F249" s="78">
        <f t="shared" si="72"/>
        <v>0</v>
      </c>
      <c r="G249" s="142"/>
      <c r="H249" s="210"/>
      <c r="I249" s="124">
        <f t="shared" si="73"/>
        <v>0</v>
      </c>
      <c r="J249" s="142"/>
      <c r="K249" s="231"/>
      <c r="L249" s="279">
        <f t="shared" si="74"/>
        <v>0</v>
      </c>
      <c r="M249" s="225"/>
      <c r="N249" s="186"/>
      <c r="O249" s="293">
        <f t="shared" si="75"/>
        <v>0</v>
      </c>
      <c r="P249" s="323"/>
      <c r="Q249" s="329">
        <f t="shared" si="70"/>
        <v>0</v>
      </c>
      <c r="R249" s="345"/>
      <c r="S249" s="338" t="e">
        <f t="shared" si="63"/>
        <v>#DIV/0!</v>
      </c>
    </row>
    <row r="250" spans="1:19" ht="12.75" hidden="1">
      <c r="A250" s="22" t="s">
        <v>324</v>
      </c>
      <c r="B250" s="60">
        <v>2300</v>
      </c>
      <c r="C250" s="79"/>
      <c r="D250" s="186"/>
      <c r="E250" s="157"/>
      <c r="F250" s="78">
        <f t="shared" si="72"/>
        <v>0</v>
      </c>
      <c r="G250" s="142"/>
      <c r="H250" s="210"/>
      <c r="I250" s="124">
        <f t="shared" si="73"/>
        <v>0</v>
      </c>
      <c r="J250" s="142"/>
      <c r="K250" s="231"/>
      <c r="L250" s="279">
        <f t="shared" si="74"/>
        <v>0</v>
      </c>
      <c r="M250" s="225"/>
      <c r="N250" s="186"/>
      <c r="O250" s="293">
        <f t="shared" si="75"/>
        <v>0</v>
      </c>
      <c r="P250" s="323"/>
      <c r="Q250" s="329">
        <f t="shared" si="70"/>
        <v>0</v>
      </c>
      <c r="R250" s="345"/>
      <c r="S250" s="338" t="e">
        <f t="shared" si="63"/>
        <v>#DIV/0!</v>
      </c>
    </row>
    <row r="251" spans="1:19" ht="12.75">
      <c r="A251" s="61" t="s">
        <v>302</v>
      </c>
      <c r="B251" s="60">
        <v>15974</v>
      </c>
      <c r="C251" s="79"/>
      <c r="D251" s="186">
        <v>12000</v>
      </c>
      <c r="E251" s="157"/>
      <c r="F251" s="78">
        <f t="shared" si="72"/>
        <v>12000</v>
      </c>
      <c r="G251" s="142">
        <f>84601.94</f>
        <v>84601.94</v>
      </c>
      <c r="H251" s="210"/>
      <c r="I251" s="124">
        <f>F251+G251+H251</f>
        <v>96601.94</v>
      </c>
      <c r="J251" s="142"/>
      <c r="K251" s="231"/>
      <c r="L251" s="279">
        <f t="shared" si="74"/>
        <v>96601.94</v>
      </c>
      <c r="M251" s="225"/>
      <c r="N251" s="186"/>
      <c r="O251" s="293">
        <f t="shared" si="75"/>
        <v>96601.94</v>
      </c>
      <c r="P251" s="323">
        <f>19857.37</f>
        <v>19857.37</v>
      </c>
      <c r="Q251" s="329">
        <f t="shared" si="70"/>
        <v>116459.31</v>
      </c>
      <c r="R251" s="345">
        <v>73534.96</v>
      </c>
      <c r="S251" s="338">
        <f t="shared" si="63"/>
        <v>63.14219103650881</v>
      </c>
    </row>
    <row r="252" spans="1:19" ht="12.75" hidden="1">
      <c r="A252" s="13" t="s">
        <v>81</v>
      </c>
      <c r="B252" s="60"/>
      <c r="C252" s="79"/>
      <c r="D252" s="186"/>
      <c r="E252" s="157"/>
      <c r="F252" s="78">
        <f t="shared" si="72"/>
        <v>0</v>
      </c>
      <c r="G252" s="142"/>
      <c r="H252" s="210"/>
      <c r="I252" s="124">
        <f t="shared" si="73"/>
        <v>0</v>
      </c>
      <c r="J252" s="142"/>
      <c r="K252" s="231"/>
      <c r="L252" s="279">
        <f t="shared" si="74"/>
        <v>0</v>
      </c>
      <c r="M252" s="225"/>
      <c r="N252" s="186"/>
      <c r="O252" s="293">
        <f t="shared" si="75"/>
        <v>0</v>
      </c>
      <c r="P252" s="323"/>
      <c r="Q252" s="329">
        <f t="shared" si="70"/>
        <v>0</v>
      </c>
      <c r="R252" s="345"/>
      <c r="S252" s="338" t="e">
        <f t="shared" si="63"/>
        <v>#DIV/0!</v>
      </c>
    </row>
    <row r="253" spans="1:19" ht="12.75">
      <c r="A253" s="16" t="s">
        <v>66</v>
      </c>
      <c r="B253" s="63"/>
      <c r="C253" s="86"/>
      <c r="D253" s="193">
        <f>100</f>
        <v>100</v>
      </c>
      <c r="E253" s="161"/>
      <c r="F253" s="112">
        <f t="shared" si="72"/>
        <v>100</v>
      </c>
      <c r="G253" s="136"/>
      <c r="H253" s="215"/>
      <c r="I253" s="129">
        <f t="shared" si="73"/>
        <v>100</v>
      </c>
      <c r="J253" s="136"/>
      <c r="K253" s="233"/>
      <c r="L253" s="315">
        <f t="shared" si="74"/>
        <v>100</v>
      </c>
      <c r="M253" s="274"/>
      <c r="N253" s="193"/>
      <c r="O253" s="295">
        <f t="shared" si="75"/>
        <v>100</v>
      </c>
      <c r="P253" s="326"/>
      <c r="Q253" s="330">
        <f t="shared" si="70"/>
        <v>100</v>
      </c>
      <c r="R253" s="351">
        <v>98.8</v>
      </c>
      <c r="S253" s="340">
        <f t="shared" si="63"/>
        <v>98.8</v>
      </c>
    </row>
    <row r="254" spans="1:19" ht="12.75" hidden="1">
      <c r="A254" s="16" t="s">
        <v>93</v>
      </c>
      <c r="B254" s="63"/>
      <c r="C254" s="86"/>
      <c r="D254" s="193"/>
      <c r="E254" s="161"/>
      <c r="F254" s="112">
        <f t="shared" si="72"/>
        <v>0</v>
      </c>
      <c r="G254" s="136"/>
      <c r="H254" s="215"/>
      <c r="I254" s="129">
        <f t="shared" si="73"/>
        <v>0</v>
      </c>
      <c r="J254" s="136"/>
      <c r="K254" s="233"/>
      <c r="L254" s="315">
        <f t="shared" si="74"/>
        <v>0</v>
      </c>
      <c r="M254" s="274"/>
      <c r="N254" s="193"/>
      <c r="O254" s="295">
        <f t="shared" si="75"/>
        <v>0</v>
      </c>
      <c r="P254" s="326"/>
      <c r="Q254" s="330">
        <f t="shared" si="70"/>
        <v>0</v>
      </c>
      <c r="R254" s="345"/>
      <c r="S254" s="338" t="e">
        <f t="shared" si="63"/>
        <v>#DIV/0!</v>
      </c>
    </row>
    <row r="255" spans="1:19" ht="12.75">
      <c r="A255" s="10" t="s">
        <v>98</v>
      </c>
      <c r="B255" s="64"/>
      <c r="C255" s="75">
        <f aca="true" t="shared" si="76" ref="C255:R255">C256+C296</f>
        <v>342719.7</v>
      </c>
      <c r="D255" s="185">
        <f t="shared" si="76"/>
        <v>4752959.36</v>
      </c>
      <c r="E255" s="156">
        <f t="shared" si="76"/>
        <v>0</v>
      </c>
      <c r="F255" s="77">
        <f t="shared" si="76"/>
        <v>5095679.0600000005</v>
      </c>
      <c r="G255" s="75">
        <f t="shared" si="76"/>
        <v>67912.31999999999</v>
      </c>
      <c r="H255" s="185">
        <f t="shared" si="76"/>
        <v>0</v>
      </c>
      <c r="I255" s="77">
        <f t="shared" si="76"/>
        <v>5163591.38</v>
      </c>
      <c r="J255" s="141">
        <f t="shared" si="76"/>
        <v>164921.25999999998</v>
      </c>
      <c r="K255" s="230">
        <f t="shared" si="76"/>
        <v>0</v>
      </c>
      <c r="L255" s="217">
        <f t="shared" si="76"/>
        <v>5328512.64</v>
      </c>
      <c r="M255" s="230">
        <f t="shared" si="76"/>
        <v>55698.61</v>
      </c>
      <c r="N255" s="209">
        <f t="shared" si="76"/>
        <v>0</v>
      </c>
      <c r="O255" s="228">
        <f t="shared" si="76"/>
        <v>5384211.250000001</v>
      </c>
      <c r="P255" s="75">
        <f t="shared" si="76"/>
        <v>24577.969999999998</v>
      </c>
      <c r="Q255" s="77">
        <f t="shared" si="76"/>
        <v>5408789.219999999</v>
      </c>
      <c r="R255" s="346">
        <f t="shared" si="76"/>
        <v>5408769.06</v>
      </c>
      <c r="S255" s="337">
        <f t="shared" si="63"/>
        <v>99.99962727332904</v>
      </c>
    </row>
    <row r="256" spans="1:19" ht="12.75">
      <c r="A256" s="19" t="s">
        <v>59</v>
      </c>
      <c r="B256" s="64"/>
      <c r="C256" s="84">
        <f aca="true" t="shared" si="77" ref="C256:R256">SUM(C258:C295)</f>
        <v>342719.7</v>
      </c>
      <c r="D256" s="191">
        <f t="shared" si="77"/>
        <v>4751149.66</v>
      </c>
      <c r="E256" s="160">
        <f t="shared" si="77"/>
        <v>0</v>
      </c>
      <c r="F256" s="85">
        <f t="shared" si="77"/>
        <v>5093869.36</v>
      </c>
      <c r="G256" s="84">
        <f t="shared" si="77"/>
        <v>66714.92</v>
      </c>
      <c r="H256" s="191">
        <f t="shared" si="77"/>
        <v>0</v>
      </c>
      <c r="I256" s="85">
        <f t="shared" si="77"/>
        <v>5160584.28</v>
      </c>
      <c r="J256" s="146">
        <f t="shared" si="77"/>
        <v>160439.96</v>
      </c>
      <c r="K256" s="235">
        <f t="shared" si="77"/>
        <v>0</v>
      </c>
      <c r="L256" s="282">
        <f t="shared" si="77"/>
        <v>5321024.239999999</v>
      </c>
      <c r="M256" s="235">
        <f t="shared" si="77"/>
        <v>55707.31</v>
      </c>
      <c r="N256" s="214">
        <f t="shared" si="77"/>
        <v>0</v>
      </c>
      <c r="O256" s="244">
        <f t="shared" si="77"/>
        <v>5376731.550000001</v>
      </c>
      <c r="P256" s="84">
        <f t="shared" si="77"/>
        <v>24577.969999999998</v>
      </c>
      <c r="Q256" s="85">
        <f t="shared" si="77"/>
        <v>5401309.519999999</v>
      </c>
      <c r="R256" s="349">
        <f t="shared" si="77"/>
        <v>5401289.359999999</v>
      </c>
      <c r="S256" s="344">
        <f t="shared" si="63"/>
        <v>99.99962675717946</v>
      </c>
    </row>
    <row r="257" spans="1:19" ht="12.75">
      <c r="A257" s="11" t="s">
        <v>31</v>
      </c>
      <c r="B257" s="60"/>
      <c r="C257" s="79"/>
      <c r="D257" s="186"/>
      <c r="E257" s="157"/>
      <c r="F257" s="78"/>
      <c r="G257" s="142"/>
      <c r="H257" s="210"/>
      <c r="I257" s="124"/>
      <c r="J257" s="142"/>
      <c r="K257" s="231"/>
      <c r="L257" s="279"/>
      <c r="M257" s="225"/>
      <c r="N257" s="186"/>
      <c r="O257" s="293"/>
      <c r="P257" s="323"/>
      <c r="Q257" s="329"/>
      <c r="R257" s="345"/>
      <c r="S257" s="338"/>
    </row>
    <row r="258" spans="1:19" ht="12.75">
      <c r="A258" s="17" t="s">
        <v>89</v>
      </c>
      <c r="B258" s="60"/>
      <c r="C258" s="79">
        <v>317070.7</v>
      </c>
      <c r="D258" s="186">
        <f>3805.3+9016.5+450+10000</f>
        <v>23271.8</v>
      </c>
      <c r="E258" s="157"/>
      <c r="F258" s="78">
        <f>C258+D258+E258</f>
        <v>340342.5</v>
      </c>
      <c r="G258" s="142">
        <f>3328.9+672.91+9000</f>
        <v>13001.81</v>
      </c>
      <c r="H258" s="210"/>
      <c r="I258" s="124">
        <f>F258+G258+H258</f>
        <v>353344.31</v>
      </c>
      <c r="J258" s="179">
        <f>9614.4+1858.4</f>
        <v>11472.8</v>
      </c>
      <c r="K258" s="231"/>
      <c r="L258" s="279">
        <f>I258+J258+K258</f>
        <v>364817.11</v>
      </c>
      <c r="M258" s="225">
        <f>139.7+30+32</f>
        <v>201.7</v>
      </c>
      <c r="N258" s="186"/>
      <c r="O258" s="293">
        <f>L258+M258+N258</f>
        <v>365018.81</v>
      </c>
      <c r="P258" s="323">
        <f>-252.2</f>
        <v>-252.2</v>
      </c>
      <c r="Q258" s="329">
        <f t="shared" si="70"/>
        <v>364766.61</v>
      </c>
      <c r="R258" s="345">
        <v>364766.61</v>
      </c>
      <c r="S258" s="338">
        <f t="shared" si="63"/>
        <v>100</v>
      </c>
    </row>
    <row r="259" spans="1:19" ht="12.75">
      <c r="A259" s="17" t="s">
        <v>404</v>
      </c>
      <c r="B259" s="60"/>
      <c r="C259" s="79"/>
      <c r="D259" s="186"/>
      <c r="E259" s="157"/>
      <c r="F259" s="78"/>
      <c r="G259" s="142"/>
      <c r="H259" s="210"/>
      <c r="I259" s="124"/>
      <c r="J259" s="142"/>
      <c r="K259" s="231"/>
      <c r="L259" s="279"/>
      <c r="M259" s="225"/>
      <c r="N259" s="186"/>
      <c r="O259" s="293"/>
      <c r="P259" s="323"/>
      <c r="Q259" s="329"/>
      <c r="R259" s="345"/>
      <c r="S259" s="338"/>
    </row>
    <row r="260" spans="1:19" ht="12.75">
      <c r="A260" s="17" t="s">
        <v>99</v>
      </c>
      <c r="B260" s="60">
        <v>33353</v>
      </c>
      <c r="C260" s="79"/>
      <c r="D260" s="186">
        <v>1513428</v>
      </c>
      <c r="E260" s="157"/>
      <c r="F260" s="78">
        <f aca="true" t="shared" si="78" ref="F260:F295">C260+D260+E260</f>
        <v>1513428</v>
      </c>
      <c r="G260" s="142"/>
      <c r="H260" s="210"/>
      <c r="I260" s="124">
        <f aca="true" t="shared" si="79" ref="I260:I295">F260+G260+H260</f>
        <v>1513428</v>
      </c>
      <c r="J260" s="142"/>
      <c r="K260" s="231"/>
      <c r="L260" s="279">
        <f aca="true" t="shared" si="80" ref="L260:L295">I260+J260+K260</f>
        <v>1513428</v>
      </c>
      <c r="M260" s="225"/>
      <c r="N260" s="186"/>
      <c r="O260" s="293">
        <f aca="true" t="shared" si="81" ref="O260:O295">L260+M260+N260</f>
        <v>1513428</v>
      </c>
      <c r="P260" s="323"/>
      <c r="Q260" s="329">
        <f t="shared" si="70"/>
        <v>1513428</v>
      </c>
      <c r="R260" s="345">
        <v>1513428</v>
      </c>
      <c r="S260" s="338">
        <f t="shared" si="63"/>
        <v>100</v>
      </c>
    </row>
    <row r="261" spans="1:19" ht="12.75">
      <c r="A261" s="17" t="s">
        <v>101</v>
      </c>
      <c r="B261" s="60">
        <v>33353</v>
      </c>
      <c r="C261" s="79"/>
      <c r="D261" s="187">
        <v>3136520</v>
      </c>
      <c r="E261" s="157"/>
      <c r="F261" s="78">
        <f>C261+D261+E261</f>
        <v>3136520</v>
      </c>
      <c r="G261" s="142"/>
      <c r="H261" s="210"/>
      <c r="I261" s="124">
        <f>F261+G261+H261</f>
        <v>3136520</v>
      </c>
      <c r="J261" s="142"/>
      <c r="K261" s="231"/>
      <c r="L261" s="279">
        <f>I261+J261+K261</f>
        <v>3136520</v>
      </c>
      <c r="M261" s="225"/>
      <c r="N261" s="186"/>
      <c r="O261" s="293">
        <f>L261+M261+N261</f>
        <v>3136520</v>
      </c>
      <c r="P261" s="323"/>
      <c r="Q261" s="329">
        <f>O261+P261</f>
        <v>3136520</v>
      </c>
      <c r="R261" s="345">
        <v>3136520</v>
      </c>
      <c r="S261" s="338">
        <f>R261/Q261*100</f>
        <v>100</v>
      </c>
    </row>
    <row r="262" spans="1:19" ht="12.75">
      <c r="A262" s="17" t="s">
        <v>100</v>
      </c>
      <c r="B262" s="60">
        <v>33155</v>
      </c>
      <c r="C262" s="79"/>
      <c r="D262" s="186">
        <f>52780</f>
        <v>52780</v>
      </c>
      <c r="E262" s="157"/>
      <c r="F262" s="78">
        <f t="shared" si="78"/>
        <v>52780</v>
      </c>
      <c r="G262" s="142">
        <f>50210</f>
        <v>50210</v>
      </c>
      <c r="H262" s="210"/>
      <c r="I262" s="124">
        <f t="shared" si="79"/>
        <v>102990</v>
      </c>
      <c r="J262" s="142">
        <f>51490</f>
        <v>51490</v>
      </c>
      <c r="K262" s="231"/>
      <c r="L262" s="279">
        <f t="shared" si="80"/>
        <v>154480</v>
      </c>
      <c r="M262" s="225">
        <f>55518</f>
        <v>55518</v>
      </c>
      <c r="N262" s="186"/>
      <c r="O262" s="293">
        <f t="shared" si="81"/>
        <v>209998</v>
      </c>
      <c r="P262" s="323">
        <f>-63.14</f>
        <v>-63.14</v>
      </c>
      <c r="Q262" s="329">
        <f t="shared" si="70"/>
        <v>209934.86</v>
      </c>
      <c r="R262" s="345">
        <v>209934.86</v>
      </c>
      <c r="S262" s="338">
        <f t="shared" si="63"/>
        <v>100</v>
      </c>
    </row>
    <row r="263" spans="1:19" ht="12.75">
      <c r="A263" s="17" t="s">
        <v>102</v>
      </c>
      <c r="B263" s="122" t="s">
        <v>310</v>
      </c>
      <c r="C263" s="79"/>
      <c r="D263" s="186">
        <f>25.2+43.1</f>
        <v>68.3</v>
      </c>
      <c r="E263" s="157"/>
      <c r="F263" s="78">
        <f t="shared" si="78"/>
        <v>68.3</v>
      </c>
      <c r="G263" s="142">
        <f>-21.6-21.5</f>
        <v>-43.1</v>
      </c>
      <c r="H263" s="210"/>
      <c r="I263" s="124">
        <f t="shared" si="79"/>
        <v>25.199999999999996</v>
      </c>
      <c r="J263" s="142"/>
      <c r="K263" s="231"/>
      <c r="L263" s="279">
        <f t="shared" si="80"/>
        <v>25.199999999999996</v>
      </c>
      <c r="M263" s="225"/>
      <c r="N263" s="186"/>
      <c r="O263" s="293">
        <f t="shared" si="81"/>
        <v>25.199999999999996</v>
      </c>
      <c r="P263" s="323"/>
      <c r="Q263" s="329">
        <f t="shared" si="70"/>
        <v>25.199999999999996</v>
      </c>
      <c r="R263" s="345">
        <v>25.2</v>
      </c>
      <c r="S263" s="338">
        <f t="shared" si="63"/>
        <v>100.00000000000003</v>
      </c>
    </row>
    <row r="264" spans="1:19" ht="12.75" hidden="1">
      <c r="A264" s="17" t="s">
        <v>344</v>
      </c>
      <c r="B264" s="60">
        <v>33166</v>
      </c>
      <c r="C264" s="79"/>
      <c r="D264" s="186"/>
      <c r="E264" s="157"/>
      <c r="F264" s="78">
        <f t="shared" si="78"/>
        <v>0</v>
      </c>
      <c r="G264" s="142"/>
      <c r="H264" s="210"/>
      <c r="I264" s="124">
        <f t="shared" si="79"/>
        <v>0</v>
      </c>
      <c r="J264" s="142"/>
      <c r="K264" s="231"/>
      <c r="L264" s="279">
        <f t="shared" si="80"/>
        <v>0</v>
      </c>
      <c r="M264" s="225"/>
      <c r="N264" s="186"/>
      <c r="O264" s="293">
        <f t="shared" si="81"/>
        <v>0</v>
      </c>
      <c r="P264" s="323"/>
      <c r="Q264" s="329">
        <f t="shared" si="70"/>
        <v>0</v>
      </c>
      <c r="R264" s="345"/>
      <c r="S264" s="338" t="e">
        <f t="shared" si="63"/>
        <v>#DIV/0!</v>
      </c>
    </row>
    <row r="265" spans="1:19" ht="12.75" hidden="1">
      <c r="A265" s="17" t="s">
        <v>201</v>
      </c>
      <c r="B265" s="60"/>
      <c r="C265" s="79"/>
      <c r="D265" s="186"/>
      <c r="E265" s="157"/>
      <c r="F265" s="78">
        <f t="shared" si="78"/>
        <v>0</v>
      </c>
      <c r="G265" s="142"/>
      <c r="H265" s="210"/>
      <c r="I265" s="124">
        <f t="shared" si="79"/>
        <v>0</v>
      </c>
      <c r="J265" s="142"/>
      <c r="K265" s="231"/>
      <c r="L265" s="279">
        <f t="shared" si="80"/>
        <v>0</v>
      </c>
      <c r="M265" s="225"/>
      <c r="N265" s="186"/>
      <c r="O265" s="293">
        <f t="shared" si="81"/>
        <v>0</v>
      </c>
      <c r="P265" s="323"/>
      <c r="Q265" s="329">
        <f t="shared" si="70"/>
        <v>0</v>
      </c>
      <c r="R265" s="345"/>
      <c r="S265" s="338" t="e">
        <f t="shared" si="63"/>
        <v>#DIV/0!</v>
      </c>
    </row>
    <row r="266" spans="1:19" ht="12.75" hidden="1">
      <c r="A266" s="17" t="s">
        <v>103</v>
      </c>
      <c r="B266" s="60"/>
      <c r="C266" s="79"/>
      <c r="D266" s="186"/>
      <c r="E266" s="157"/>
      <c r="F266" s="78">
        <f t="shared" si="78"/>
        <v>0</v>
      </c>
      <c r="G266" s="142"/>
      <c r="H266" s="210"/>
      <c r="I266" s="124">
        <f t="shared" si="79"/>
        <v>0</v>
      </c>
      <c r="J266" s="142"/>
      <c r="K266" s="231"/>
      <c r="L266" s="279">
        <f t="shared" si="80"/>
        <v>0</v>
      </c>
      <c r="M266" s="225"/>
      <c r="N266" s="186"/>
      <c r="O266" s="293">
        <f t="shared" si="81"/>
        <v>0</v>
      </c>
      <c r="P266" s="323"/>
      <c r="Q266" s="329">
        <f t="shared" si="70"/>
        <v>0</v>
      </c>
      <c r="R266" s="345"/>
      <c r="S266" s="338" t="e">
        <f t="shared" si="63"/>
        <v>#DIV/0!</v>
      </c>
    </row>
    <row r="267" spans="1:19" ht="12.75" hidden="1">
      <c r="A267" s="17" t="s">
        <v>165</v>
      </c>
      <c r="B267" s="60"/>
      <c r="C267" s="79"/>
      <c r="D267" s="186"/>
      <c r="E267" s="157"/>
      <c r="F267" s="78">
        <f t="shared" si="78"/>
        <v>0</v>
      </c>
      <c r="G267" s="142"/>
      <c r="H267" s="210"/>
      <c r="I267" s="124">
        <f t="shared" si="79"/>
        <v>0</v>
      </c>
      <c r="J267" s="142"/>
      <c r="K267" s="231"/>
      <c r="L267" s="279">
        <f t="shared" si="80"/>
        <v>0</v>
      </c>
      <c r="M267" s="225"/>
      <c r="N267" s="186"/>
      <c r="O267" s="293">
        <f t="shared" si="81"/>
        <v>0</v>
      </c>
      <c r="P267" s="323"/>
      <c r="Q267" s="329">
        <f t="shared" si="70"/>
        <v>0</v>
      </c>
      <c r="R267" s="345"/>
      <c r="S267" s="338" t="e">
        <f t="shared" si="63"/>
        <v>#DIV/0!</v>
      </c>
    </row>
    <row r="268" spans="1:19" ht="12.75">
      <c r="A268" s="17" t="s">
        <v>305</v>
      </c>
      <c r="B268" s="60">
        <v>33215</v>
      </c>
      <c r="C268" s="79"/>
      <c r="D268" s="186">
        <f>9607.17</f>
        <v>9607.17</v>
      </c>
      <c r="E268" s="157"/>
      <c r="F268" s="78">
        <f t="shared" si="78"/>
        <v>9607.17</v>
      </c>
      <c r="G268" s="142">
        <f>-100.49</f>
        <v>-100.49</v>
      </c>
      <c r="H268" s="210"/>
      <c r="I268" s="124">
        <f t="shared" si="79"/>
        <v>9506.68</v>
      </c>
      <c r="J268" s="142">
        <f>5454.6</f>
        <v>5454.6</v>
      </c>
      <c r="K268" s="231"/>
      <c r="L268" s="279">
        <f t="shared" si="80"/>
        <v>14961.28</v>
      </c>
      <c r="M268" s="225">
        <f>-28.46</f>
        <v>-28.46</v>
      </c>
      <c r="N268" s="186"/>
      <c r="O268" s="293">
        <f t="shared" si="81"/>
        <v>14932.820000000002</v>
      </c>
      <c r="P268" s="323">
        <f>-23.9</f>
        <v>-23.9</v>
      </c>
      <c r="Q268" s="329">
        <f t="shared" si="70"/>
        <v>14908.920000000002</v>
      </c>
      <c r="R268" s="345">
        <v>14908.91</v>
      </c>
      <c r="S268" s="338">
        <f t="shared" si="63"/>
        <v>99.99993292606035</v>
      </c>
    </row>
    <row r="269" spans="1:19" ht="12.75">
      <c r="A269" s="17" t="s">
        <v>306</v>
      </c>
      <c r="B269" s="60">
        <v>33457</v>
      </c>
      <c r="C269" s="79"/>
      <c r="D269" s="186">
        <f>9511.4</f>
        <v>9511.4</v>
      </c>
      <c r="E269" s="157"/>
      <c r="F269" s="78">
        <f t="shared" si="78"/>
        <v>9511.4</v>
      </c>
      <c r="G269" s="142">
        <f>-129.35</f>
        <v>-129.35</v>
      </c>
      <c r="H269" s="210"/>
      <c r="I269" s="124">
        <f t="shared" si="79"/>
        <v>9382.05</v>
      </c>
      <c r="J269" s="142">
        <f>4698.75</f>
        <v>4698.75</v>
      </c>
      <c r="K269" s="231"/>
      <c r="L269" s="279">
        <f t="shared" si="80"/>
        <v>14080.8</v>
      </c>
      <c r="M269" s="225">
        <f>-456</f>
        <v>-456</v>
      </c>
      <c r="N269" s="186"/>
      <c r="O269" s="293">
        <f t="shared" si="81"/>
        <v>13624.8</v>
      </c>
      <c r="P269" s="323">
        <f>-63</f>
        <v>-63</v>
      </c>
      <c r="Q269" s="329">
        <f t="shared" si="70"/>
        <v>13561.8</v>
      </c>
      <c r="R269" s="345">
        <v>13561.8</v>
      </c>
      <c r="S269" s="338">
        <f t="shared" si="63"/>
        <v>100</v>
      </c>
    </row>
    <row r="270" spans="1:19" ht="12.75">
      <c r="A270" s="17" t="s">
        <v>276</v>
      </c>
      <c r="B270" s="60">
        <v>33052</v>
      </c>
      <c r="C270" s="79"/>
      <c r="D270" s="186"/>
      <c r="E270" s="157"/>
      <c r="F270" s="78">
        <f t="shared" si="78"/>
        <v>0</v>
      </c>
      <c r="G270" s="142"/>
      <c r="H270" s="210"/>
      <c r="I270" s="124">
        <f t="shared" si="79"/>
        <v>0</v>
      </c>
      <c r="J270" s="142">
        <f>91477.27</f>
        <v>91477.27</v>
      </c>
      <c r="K270" s="231"/>
      <c r="L270" s="279">
        <f t="shared" si="80"/>
        <v>91477.27</v>
      </c>
      <c r="M270" s="225"/>
      <c r="N270" s="186"/>
      <c r="O270" s="293">
        <f t="shared" si="81"/>
        <v>91477.27</v>
      </c>
      <c r="P270" s="323">
        <f>26189.15</f>
        <v>26189.15</v>
      </c>
      <c r="Q270" s="329">
        <f t="shared" si="70"/>
        <v>117666.42000000001</v>
      </c>
      <c r="R270" s="345">
        <v>117666.42</v>
      </c>
      <c r="S270" s="338">
        <f t="shared" si="63"/>
        <v>99.99999999999999</v>
      </c>
    </row>
    <row r="271" spans="1:19" ht="12.75">
      <c r="A271" s="17" t="s">
        <v>378</v>
      </c>
      <c r="B271" s="60">
        <v>33034</v>
      </c>
      <c r="C271" s="79"/>
      <c r="D271" s="186"/>
      <c r="E271" s="157"/>
      <c r="F271" s="78"/>
      <c r="G271" s="142"/>
      <c r="H271" s="210"/>
      <c r="I271" s="124"/>
      <c r="J271" s="142"/>
      <c r="K271" s="231"/>
      <c r="L271" s="279">
        <f t="shared" si="80"/>
        <v>0</v>
      </c>
      <c r="M271" s="225">
        <f>574.94</f>
        <v>574.94</v>
      </c>
      <c r="N271" s="186"/>
      <c r="O271" s="293">
        <f t="shared" si="81"/>
        <v>574.94</v>
      </c>
      <c r="P271" s="323">
        <f>-7.84</f>
        <v>-7.84</v>
      </c>
      <c r="Q271" s="329">
        <f t="shared" si="70"/>
        <v>567.1</v>
      </c>
      <c r="R271" s="345">
        <v>567.1</v>
      </c>
      <c r="S271" s="338">
        <f aca="true" t="shared" si="82" ref="S271:S334">R271/Q271*100</f>
        <v>100</v>
      </c>
    </row>
    <row r="272" spans="1:19" ht="12.75">
      <c r="A272" s="17" t="s">
        <v>277</v>
      </c>
      <c r="B272" s="60">
        <v>33050</v>
      </c>
      <c r="C272" s="79"/>
      <c r="D272" s="186">
        <f>3272.36</f>
        <v>3272.36</v>
      </c>
      <c r="E272" s="157"/>
      <c r="F272" s="78">
        <f t="shared" si="78"/>
        <v>3272.36</v>
      </c>
      <c r="G272" s="142"/>
      <c r="H272" s="210"/>
      <c r="I272" s="124">
        <f t="shared" si="79"/>
        <v>3272.36</v>
      </c>
      <c r="J272" s="142">
        <f>1636.18</f>
        <v>1636.18</v>
      </c>
      <c r="K272" s="231"/>
      <c r="L272" s="279">
        <f t="shared" si="80"/>
        <v>4908.54</v>
      </c>
      <c r="M272" s="225">
        <f>-106</f>
        <v>-106</v>
      </c>
      <c r="N272" s="186"/>
      <c r="O272" s="293">
        <f t="shared" si="81"/>
        <v>4802.54</v>
      </c>
      <c r="P272" s="323"/>
      <c r="Q272" s="329">
        <f t="shared" si="70"/>
        <v>4802.54</v>
      </c>
      <c r="R272" s="345">
        <v>4802.53</v>
      </c>
      <c r="S272" s="338">
        <f t="shared" si="82"/>
        <v>99.99979177685141</v>
      </c>
    </row>
    <row r="273" spans="1:19" ht="12.75">
      <c r="A273" s="17" t="s">
        <v>195</v>
      </c>
      <c r="B273" s="60">
        <v>33435</v>
      </c>
      <c r="C273" s="79"/>
      <c r="D273" s="186"/>
      <c r="E273" s="157"/>
      <c r="F273" s="78">
        <f t="shared" si="78"/>
        <v>0</v>
      </c>
      <c r="G273" s="142">
        <f>721.13</f>
        <v>721.13</v>
      </c>
      <c r="H273" s="210"/>
      <c r="I273" s="124">
        <f t="shared" si="79"/>
        <v>721.13</v>
      </c>
      <c r="J273" s="142"/>
      <c r="K273" s="231"/>
      <c r="L273" s="279">
        <f t="shared" si="80"/>
        <v>721.13</v>
      </c>
      <c r="M273" s="225"/>
      <c r="N273" s="186"/>
      <c r="O273" s="293">
        <f t="shared" si="81"/>
        <v>721.13</v>
      </c>
      <c r="P273" s="323"/>
      <c r="Q273" s="329">
        <f t="shared" si="70"/>
        <v>721.13</v>
      </c>
      <c r="R273" s="345">
        <v>721.13</v>
      </c>
      <c r="S273" s="338">
        <f t="shared" si="82"/>
        <v>100</v>
      </c>
    </row>
    <row r="274" spans="1:19" ht="12.75">
      <c r="A274" s="17" t="s">
        <v>327</v>
      </c>
      <c r="B274" s="60">
        <v>33049</v>
      </c>
      <c r="C274" s="79"/>
      <c r="D274" s="186">
        <v>7835.05</v>
      </c>
      <c r="E274" s="157"/>
      <c r="F274" s="78">
        <f t="shared" si="78"/>
        <v>7835.05</v>
      </c>
      <c r="G274" s="142"/>
      <c r="H274" s="210"/>
      <c r="I274" s="124">
        <f t="shared" si="79"/>
        <v>7835.05</v>
      </c>
      <c r="J274" s="142">
        <f>5527.8</f>
        <v>5527.8</v>
      </c>
      <c r="K274" s="231"/>
      <c r="L274" s="279">
        <f t="shared" si="80"/>
        <v>13362.85</v>
      </c>
      <c r="M274" s="225"/>
      <c r="N274" s="186"/>
      <c r="O274" s="293">
        <f t="shared" si="81"/>
        <v>13362.85</v>
      </c>
      <c r="P274" s="323"/>
      <c r="Q274" s="329">
        <f t="shared" si="70"/>
        <v>13362.85</v>
      </c>
      <c r="R274" s="345">
        <v>13362.85</v>
      </c>
      <c r="S274" s="338">
        <f t="shared" si="82"/>
        <v>100</v>
      </c>
    </row>
    <row r="275" spans="1:19" ht="12.75">
      <c r="A275" s="17" t="s">
        <v>351</v>
      </c>
      <c r="B275" s="60">
        <v>33043</v>
      </c>
      <c r="C275" s="79"/>
      <c r="D275" s="186"/>
      <c r="E275" s="157"/>
      <c r="F275" s="78">
        <f t="shared" si="78"/>
        <v>0</v>
      </c>
      <c r="G275" s="142">
        <v>159</v>
      </c>
      <c r="H275" s="210"/>
      <c r="I275" s="124">
        <f t="shared" si="79"/>
        <v>159</v>
      </c>
      <c r="J275" s="142"/>
      <c r="K275" s="231"/>
      <c r="L275" s="279">
        <f t="shared" si="80"/>
        <v>159</v>
      </c>
      <c r="M275" s="225"/>
      <c r="N275" s="186"/>
      <c r="O275" s="293">
        <f t="shared" si="81"/>
        <v>159</v>
      </c>
      <c r="P275" s="323"/>
      <c r="Q275" s="329">
        <f t="shared" si="70"/>
        <v>159</v>
      </c>
      <c r="R275" s="345">
        <v>159</v>
      </c>
      <c r="S275" s="338">
        <f t="shared" si="82"/>
        <v>100</v>
      </c>
    </row>
    <row r="276" spans="1:19" ht="12.75">
      <c r="A276" s="17" t="s">
        <v>278</v>
      </c>
      <c r="B276" s="60">
        <v>33044</v>
      </c>
      <c r="C276" s="79"/>
      <c r="D276" s="186">
        <f>352.79</f>
        <v>352.79</v>
      </c>
      <c r="E276" s="157"/>
      <c r="F276" s="78">
        <f t="shared" si="78"/>
        <v>352.79</v>
      </c>
      <c r="G276" s="142"/>
      <c r="H276" s="210"/>
      <c r="I276" s="124">
        <f t="shared" si="79"/>
        <v>352.79</v>
      </c>
      <c r="J276" s="142"/>
      <c r="K276" s="231"/>
      <c r="L276" s="279">
        <f t="shared" si="80"/>
        <v>352.79</v>
      </c>
      <c r="M276" s="225"/>
      <c r="N276" s="186"/>
      <c r="O276" s="293">
        <f t="shared" si="81"/>
        <v>352.79</v>
      </c>
      <c r="P276" s="323"/>
      <c r="Q276" s="329">
        <f t="shared" si="70"/>
        <v>352.79</v>
      </c>
      <c r="R276" s="345">
        <v>352.78</v>
      </c>
      <c r="S276" s="338">
        <f t="shared" si="82"/>
        <v>99.99716545253548</v>
      </c>
    </row>
    <row r="277" spans="1:19" ht="12.75">
      <c r="A277" s="17" t="s">
        <v>375</v>
      </c>
      <c r="B277" s="60">
        <v>33024</v>
      </c>
      <c r="C277" s="79"/>
      <c r="D277" s="186"/>
      <c r="E277" s="157"/>
      <c r="F277" s="78">
        <f t="shared" si="78"/>
        <v>0</v>
      </c>
      <c r="G277" s="142">
        <f>198.86</f>
        <v>198.86</v>
      </c>
      <c r="H277" s="210"/>
      <c r="I277" s="124">
        <f t="shared" si="79"/>
        <v>198.86</v>
      </c>
      <c r="J277" s="142"/>
      <c r="K277" s="231"/>
      <c r="L277" s="279">
        <f t="shared" si="80"/>
        <v>198.86</v>
      </c>
      <c r="M277" s="225"/>
      <c r="N277" s="186"/>
      <c r="O277" s="293">
        <f t="shared" si="81"/>
        <v>198.86</v>
      </c>
      <c r="P277" s="323"/>
      <c r="Q277" s="329">
        <f t="shared" si="70"/>
        <v>198.86</v>
      </c>
      <c r="R277" s="345">
        <v>198.86</v>
      </c>
      <c r="S277" s="338">
        <f t="shared" si="82"/>
        <v>100</v>
      </c>
    </row>
    <row r="278" spans="1:19" ht="12.75" hidden="1">
      <c r="A278" s="17" t="s">
        <v>205</v>
      </c>
      <c r="B278" s="60">
        <v>33018</v>
      </c>
      <c r="C278" s="79"/>
      <c r="D278" s="186"/>
      <c r="E278" s="157"/>
      <c r="F278" s="78">
        <f t="shared" si="78"/>
        <v>0</v>
      </c>
      <c r="G278" s="142"/>
      <c r="H278" s="210"/>
      <c r="I278" s="124">
        <f t="shared" si="79"/>
        <v>0</v>
      </c>
      <c r="J278" s="142"/>
      <c r="K278" s="231"/>
      <c r="L278" s="279">
        <f t="shared" si="80"/>
        <v>0</v>
      </c>
      <c r="M278" s="225"/>
      <c r="N278" s="186"/>
      <c r="O278" s="293">
        <f t="shared" si="81"/>
        <v>0</v>
      </c>
      <c r="P278" s="323"/>
      <c r="Q278" s="329">
        <f t="shared" si="70"/>
        <v>0</v>
      </c>
      <c r="R278" s="345"/>
      <c r="S278" s="338" t="e">
        <f t="shared" si="82"/>
        <v>#DIV/0!</v>
      </c>
    </row>
    <row r="279" spans="1:19" ht="12.75" hidden="1">
      <c r="A279" s="17" t="s">
        <v>206</v>
      </c>
      <c r="B279" s="60"/>
      <c r="C279" s="79"/>
      <c r="D279" s="186"/>
      <c r="E279" s="157"/>
      <c r="F279" s="78">
        <f t="shared" si="78"/>
        <v>0</v>
      </c>
      <c r="G279" s="142"/>
      <c r="H279" s="210"/>
      <c r="I279" s="124">
        <f t="shared" si="79"/>
        <v>0</v>
      </c>
      <c r="J279" s="142"/>
      <c r="K279" s="231"/>
      <c r="L279" s="279">
        <f t="shared" si="80"/>
        <v>0</v>
      </c>
      <c r="M279" s="225"/>
      <c r="N279" s="186"/>
      <c r="O279" s="293">
        <f t="shared" si="81"/>
        <v>0</v>
      </c>
      <c r="P279" s="323"/>
      <c r="Q279" s="329">
        <f t="shared" si="70"/>
        <v>0</v>
      </c>
      <c r="R279" s="345"/>
      <c r="S279" s="338" t="e">
        <f t="shared" si="82"/>
        <v>#DIV/0!</v>
      </c>
    </row>
    <row r="280" spans="1:19" ht="12.75">
      <c r="A280" s="17" t="s">
        <v>240</v>
      </c>
      <c r="B280" s="60">
        <v>33160</v>
      </c>
      <c r="C280" s="79"/>
      <c r="D280" s="186"/>
      <c r="E280" s="157"/>
      <c r="F280" s="78">
        <f t="shared" si="78"/>
        <v>0</v>
      </c>
      <c r="G280" s="142">
        <f>201.1</f>
        <v>201.1</v>
      </c>
      <c r="H280" s="210"/>
      <c r="I280" s="124">
        <f t="shared" si="79"/>
        <v>201.1</v>
      </c>
      <c r="J280" s="142">
        <f>-107.15+201</f>
        <v>93.85</v>
      </c>
      <c r="K280" s="231"/>
      <c r="L280" s="279">
        <f t="shared" si="80"/>
        <v>294.95</v>
      </c>
      <c r="M280" s="225"/>
      <c r="N280" s="186"/>
      <c r="O280" s="293">
        <f t="shared" si="81"/>
        <v>294.95</v>
      </c>
      <c r="P280" s="323">
        <f>-15.61</f>
        <v>-15.61</v>
      </c>
      <c r="Q280" s="329">
        <f t="shared" si="70"/>
        <v>279.34</v>
      </c>
      <c r="R280" s="345">
        <v>279.34</v>
      </c>
      <c r="S280" s="338">
        <f t="shared" si="82"/>
        <v>100</v>
      </c>
    </row>
    <row r="281" spans="1:19" ht="12.75" hidden="1">
      <c r="A281" s="17" t="s">
        <v>180</v>
      </c>
      <c r="B281" s="60"/>
      <c r="C281" s="79"/>
      <c r="D281" s="186"/>
      <c r="E281" s="157"/>
      <c r="F281" s="78">
        <f t="shared" si="78"/>
        <v>0</v>
      </c>
      <c r="G281" s="142"/>
      <c r="H281" s="210"/>
      <c r="I281" s="124">
        <f t="shared" si="79"/>
        <v>0</v>
      </c>
      <c r="J281" s="142"/>
      <c r="K281" s="231"/>
      <c r="L281" s="279">
        <f t="shared" si="80"/>
        <v>0</v>
      </c>
      <c r="M281" s="225"/>
      <c r="N281" s="186"/>
      <c r="O281" s="293">
        <f t="shared" si="81"/>
        <v>0</v>
      </c>
      <c r="P281" s="323"/>
      <c r="Q281" s="329">
        <f t="shared" si="70"/>
        <v>0</v>
      </c>
      <c r="R281" s="345"/>
      <c r="S281" s="338" t="e">
        <f t="shared" si="82"/>
        <v>#DIV/0!</v>
      </c>
    </row>
    <row r="282" spans="1:19" ht="12.75" hidden="1">
      <c r="A282" s="17" t="s">
        <v>159</v>
      </c>
      <c r="B282" s="60"/>
      <c r="C282" s="79"/>
      <c r="D282" s="186"/>
      <c r="E282" s="157"/>
      <c r="F282" s="78">
        <f t="shared" si="78"/>
        <v>0</v>
      </c>
      <c r="G282" s="142"/>
      <c r="H282" s="210"/>
      <c r="I282" s="124">
        <f t="shared" si="79"/>
        <v>0</v>
      </c>
      <c r="J282" s="142"/>
      <c r="K282" s="231"/>
      <c r="L282" s="279">
        <f t="shared" si="80"/>
        <v>0</v>
      </c>
      <c r="M282" s="225"/>
      <c r="N282" s="186"/>
      <c r="O282" s="293">
        <f t="shared" si="81"/>
        <v>0</v>
      </c>
      <c r="P282" s="323"/>
      <c r="Q282" s="329">
        <f t="shared" si="70"/>
        <v>0</v>
      </c>
      <c r="R282" s="345"/>
      <c r="S282" s="338" t="e">
        <f t="shared" si="82"/>
        <v>#DIV/0!</v>
      </c>
    </row>
    <row r="283" spans="1:19" ht="12.75">
      <c r="A283" s="17" t="s">
        <v>179</v>
      </c>
      <c r="B283" s="60">
        <v>33339</v>
      </c>
      <c r="C283" s="79"/>
      <c r="D283" s="186"/>
      <c r="E283" s="157"/>
      <c r="F283" s="78">
        <f t="shared" si="78"/>
        <v>0</v>
      </c>
      <c r="G283" s="142">
        <f>141</f>
        <v>141</v>
      </c>
      <c r="H283" s="210"/>
      <c r="I283" s="124">
        <f t="shared" si="79"/>
        <v>141</v>
      </c>
      <c r="J283" s="142"/>
      <c r="K283" s="231"/>
      <c r="L283" s="279">
        <f t="shared" si="80"/>
        <v>141</v>
      </c>
      <c r="M283" s="225"/>
      <c r="N283" s="186"/>
      <c r="O283" s="293">
        <f t="shared" si="81"/>
        <v>141</v>
      </c>
      <c r="P283" s="323"/>
      <c r="Q283" s="329">
        <f t="shared" si="70"/>
        <v>141</v>
      </c>
      <c r="R283" s="345">
        <v>141</v>
      </c>
      <c r="S283" s="338">
        <f t="shared" si="82"/>
        <v>100</v>
      </c>
    </row>
    <row r="284" spans="1:19" ht="12.75">
      <c r="A284" s="17" t="s">
        <v>104</v>
      </c>
      <c r="B284" s="60">
        <v>33025</v>
      </c>
      <c r="C284" s="79"/>
      <c r="D284" s="186"/>
      <c r="E284" s="157"/>
      <c r="F284" s="78">
        <f t="shared" si="78"/>
        <v>0</v>
      </c>
      <c r="G284" s="142">
        <f>509</f>
        <v>509</v>
      </c>
      <c r="H284" s="210"/>
      <c r="I284" s="124">
        <f t="shared" si="79"/>
        <v>509</v>
      </c>
      <c r="J284" s="142">
        <f>28.9</f>
        <v>28.9</v>
      </c>
      <c r="K284" s="231"/>
      <c r="L284" s="279">
        <f t="shared" si="80"/>
        <v>537.9</v>
      </c>
      <c r="M284" s="225"/>
      <c r="N284" s="186"/>
      <c r="O284" s="293">
        <f t="shared" si="81"/>
        <v>537.9</v>
      </c>
      <c r="P284" s="323">
        <f>-0.06</f>
        <v>-0.06</v>
      </c>
      <c r="Q284" s="329">
        <f t="shared" si="70"/>
        <v>537.84</v>
      </c>
      <c r="R284" s="345">
        <v>537.84</v>
      </c>
      <c r="S284" s="338">
        <f t="shared" si="82"/>
        <v>100</v>
      </c>
    </row>
    <row r="285" spans="1:19" ht="12.75">
      <c r="A285" s="17" t="s">
        <v>216</v>
      </c>
      <c r="B285" s="60">
        <v>33038</v>
      </c>
      <c r="C285" s="79"/>
      <c r="D285" s="186"/>
      <c r="E285" s="157"/>
      <c r="F285" s="78">
        <f t="shared" si="78"/>
        <v>0</v>
      </c>
      <c r="G285" s="142">
        <f>1379.46</f>
        <v>1379.46</v>
      </c>
      <c r="H285" s="210"/>
      <c r="I285" s="124">
        <f t="shared" si="79"/>
        <v>1379.46</v>
      </c>
      <c r="J285" s="142"/>
      <c r="K285" s="231"/>
      <c r="L285" s="279">
        <f t="shared" si="80"/>
        <v>1379.46</v>
      </c>
      <c r="M285" s="225"/>
      <c r="N285" s="186"/>
      <c r="O285" s="293">
        <f t="shared" si="81"/>
        <v>1379.46</v>
      </c>
      <c r="P285" s="323"/>
      <c r="Q285" s="329">
        <f t="shared" si="70"/>
        <v>1379.46</v>
      </c>
      <c r="R285" s="345">
        <v>1379.46</v>
      </c>
      <c r="S285" s="338">
        <f t="shared" si="82"/>
        <v>100</v>
      </c>
    </row>
    <row r="286" spans="1:19" ht="12.75">
      <c r="A286" s="17" t="s">
        <v>384</v>
      </c>
      <c r="B286" s="60">
        <v>33065</v>
      </c>
      <c r="C286" s="79"/>
      <c r="D286" s="186"/>
      <c r="E286" s="157"/>
      <c r="F286" s="78"/>
      <c r="G286" s="142"/>
      <c r="H286" s="210"/>
      <c r="I286" s="124"/>
      <c r="J286" s="142"/>
      <c r="K286" s="231"/>
      <c r="L286" s="279"/>
      <c r="M286" s="225"/>
      <c r="N286" s="186"/>
      <c r="O286" s="293">
        <f t="shared" si="81"/>
        <v>0</v>
      </c>
      <c r="P286" s="323">
        <f>477.59</f>
        <v>477.59</v>
      </c>
      <c r="Q286" s="329">
        <f t="shared" si="70"/>
        <v>477.59</v>
      </c>
      <c r="R286" s="345">
        <v>477.59</v>
      </c>
      <c r="S286" s="338">
        <f t="shared" si="82"/>
        <v>100</v>
      </c>
    </row>
    <row r="287" spans="1:19" ht="12.75">
      <c r="A287" s="17" t="s">
        <v>376</v>
      </c>
      <c r="B287" s="60">
        <v>33040</v>
      </c>
      <c r="C287" s="79"/>
      <c r="D287" s="186"/>
      <c r="E287" s="157"/>
      <c r="F287" s="78">
        <f t="shared" si="78"/>
        <v>0</v>
      </c>
      <c r="G287" s="142">
        <v>101</v>
      </c>
      <c r="H287" s="210"/>
      <c r="I287" s="124">
        <f t="shared" si="79"/>
        <v>101</v>
      </c>
      <c r="J287" s="142"/>
      <c r="K287" s="231"/>
      <c r="L287" s="279">
        <f t="shared" si="80"/>
        <v>101</v>
      </c>
      <c r="M287" s="225"/>
      <c r="N287" s="186"/>
      <c r="O287" s="293">
        <f t="shared" si="81"/>
        <v>101</v>
      </c>
      <c r="P287" s="323"/>
      <c r="Q287" s="329">
        <f t="shared" si="70"/>
        <v>101</v>
      </c>
      <c r="R287" s="345">
        <v>101</v>
      </c>
      <c r="S287" s="338">
        <f t="shared" si="82"/>
        <v>100</v>
      </c>
    </row>
    <row r="288" spans="1:19" ht="12.75">
      <c r="A288" s="17" t="s">
        <v>356</v>
      </c>
      <c r="B288" s="60">
        <v>33069</v>
      </c>
      <c r="C288" s="79"/>
      <c r="D288" s="186"/>
      <c r="E288" s="157"/>
      <c r="F288" s="78">
        <f t="shared" si="78"/>
        <v>0</v>
      </c>
      <c r="G288" s="142">
        <f>121.7+4407.77</f>
        <v>4529.47</v>
      </c>
      <c r="H288" s="210"/>
      <c r="I288" s="124">
        <f t="shared" si="79"/>
        <v>4529.47</v>
      </c>
      <c r="J288" s="142"/>
      <c r="K288" s="231"/>
      <c r="L288" s="279">
        <f t="shared" si="80"/>
        <v>4529.47</v>
      </c>
      <c r="M288" s="225"/>
      <c r="N288" s="186"/>
      <c r="O288" s="293">
        <f t="shared" si="81"/>
        <v>4529.47</v>
      </c>
      <c r="P288" s="323">
        <f>-1642.12</f>
        <v>-1642.12</v>
      </c>
      <c r="Q288" s="329">
        <f t="shared" si="70"/>
        <v>2887.3500000000004</v>
      </c>
      <c r="R288" s="345">
        <v>2887.35</v>
      </c>
      <c r="S288" s="338">
        <f t="shared" si="82"/>
        <v>99.99999999999999</v>
      </c>
    </row>
    <row r="289" spans="1:19" ht="12.75" hidden="1">
      <c r="A289" s="17" t="s">
        <v>171</v>
      </c>
      <c r="B289" s="60">
        <v>33123</v>
      </c>
      <c r="C289" s="79"/>
      <c r="D289" s="186"/>
      <c r="E289" s="157"/>
      <c r="F289" s="78">
        <f t="shared" si="78"/>
        <v>0</v>
      </c>
      <c r="G289" s="142"/>
      <c r="H289" s="210"/>
      <c r="I289" s="124">
        <f t="shared" si="79"/>
        <v>0</v>
      </c>
      <c r="J289" s="142"/>
      <c r="K289" s="231"/>
      <c r="L289" s="279">
        <f t="shared" si="80"/>
        <v>0</v>
      </c>
      <c r="M289" s="225"/>
      <c r="N289" s="186"/>
      <c r="O289" s="293">
        <f t="shared" si="81"/>
        <v>0</v>
      </c>
      <c r="P289" s="323"/>
      <c r="Q289" s="329">
        <f t="shared" si="70"/>
        <v>0</v>
      </c>
      <c r="R289" s="345"/>
      <c r="S289" s="338" t="e">
        <f t="shared" si="82"/>
        <v>#DIV/0!</v>
      </c>
    </row>
    <row r="290" spans="1:19" ht="12.75" hidden="1">
      <c r="A290" s="17" t="s">
        <v>215</v>
      </c>
      <c r="B290" s="60">
        <v>33031</v>
      </c>
      <c r="C290" s="79"/>
      <c r="D290" s="186"/>
      <c r="E290" s="157"/>
      <c r="F290" s="78">
        <f t="shared" si="78"/>
        <v>0</v>
      </c>
      <c r="G290" s="142"/>
      <c r="H290" s="210"/>
      <c r="I290" s="124">
        <f t="shared" si="79"/>
        <v>0</v>
      </c>
      <c r="J290" s="142"/>
      <c r="K290" s="231"/>
      <c r="L290" s="279"/>
      <c r="M290" s="225"/>
      <c r="N290" s="186"/>
      <c r="O290" s="293"/>
      <c r="P290" s="323"/>
      <c r="Q290" s="329">
        <f t="shared" si="70"/>
        <v>0</v>
      </c>
      <c r="R290" s="345"/>
      <c r="S290" s="338" t="e">
        <f t="shared" si="82"/>
        <v>#DIV/0!</v>
      </c>
    </row>
    <row r="291" spans="1:19" ht="12.75" hidden="1">
      <c r="A291" s="17" t="s">
        <v>175</v>
      </c>
      <c r="B291" s="60">
        <v>33019</v>
      </c>
      <c r="C291" s="79"/>
      <c r="D291" s="186"/>
      <c r="E291" s="157"/>
      <c r="F291" s="78">
        <f t="shared" si="78"/>
        <v>0</v>
      </c>
      <c r="G291" s="142"/>
      <c r="H291" s="210"/>
      <c r="I291" s="124">
        <f t="shared" si="79"/>
        <v>0</v>
      </c>
      <c r="J291" s="142"/>
      <c r="K291" s="231"/>
      <c r="L291" s="279">
        <f t="shared" si="80"/>
        <v>0</v>
      </c>
      <c r="M291" s="225"/>
      <c r="N291" s="186"/>
      <c r="O291" s="293">
        <f t="shared" si="81"/>
        <v>0</v>
      </c>
      <c r="P291" s="323"/>
      <c r="Q291" s="329">
        <f t="shared" si="70"/>
        <v>0</v>
      </c>
      <c r="R291" s="345"/>
      <c r="S291" s="338" t="e">
        <f t="shared" si="82"/>
        <v>#DIV/0!</v>
      </c>
    </row>
    <row r="292" spans="1:19" ht="12.75" hidden="1">
      <c r="A292" s="17" t="s">
        <v>177</v>
      </c>
      <c r="B292" s="60">
        <v>33019</v>
      </c>
      <c r="C292" s="79"/>
      <c r="D292" s="186"/>
      <c r="E292" s="157"/>
      <c r="F292" s="78">
        <f t="shared" si="78"/>
        <v>0</v>
      </c>
      <c r="G292" s="142"/>
      <c r="H292" s="210"/>
      <c r="I292" s="124">
        <f t="shared" si="79"/>
        <v>0</v>
      </c>
      <c r="J292" s="142"/>
      <c r="K292" s="231"/>
      <c r="L292" s="279">
        <f t="shared" si="80"/>
        <v>0</v>
      </c>
      <c r="M292" s="225"/>
      <c r="N292" s="186"/>
      <c r="O292" s="293">
        <f t="shared" si="81"/>
        <v>0</v>
      </c>
      <c r="P292" s="323"/>
      <c r="Q292" s="329">
        <f t="shared" si="70"/>
        <v>0</v>
      </c>
      <c r="R292" s="345"/>
      <c r="S292" s="338" t="e">
        <f t="shared" si="82"/>
        <v>#DIV/0!</v>
      </c>
    </row>
    <row r="293" spans="1:19" ht="12.75" hidden="1">
      <c r="A293" s="17" t="s">
        <v>105</v>
      </c>
      <c r="B293" s="60"/>
      <c r="C293" s="79"/>
      <c r="D293" s="186"/>
      <c r="E293" s="157"/>
      <c r="F293" s="78">
        <f t="shared" si="78"/>
        <v>0</v>
      </c>
      <c r="G293" s="142"/>
      <c r="H293" s="210"/>
      <c r="I293" s="124">
        <f t="shared" si="79"/>
        <v>0</v>
      </c>
      <c r="J293" s="142"/>
      <c r="K293" s="231"/>
      <c r="L293" s="279">
        <f t="shared" si="80"/>
        <v>0</v>
      </c>
      <c r="M293" s="225"/>
      <c r="N293" s="186"/>
      <c r="O293" s="293">
        <f t="shared" si="81"/>
        <v>0</v>
      </c>
      <c r="P293" s="323"/>
      <c r="Q293" s="329">
        <f t="shared" si="70"/>
        <v>0</v>
      </c>
      <c r="R293" s="345"/>
      <c r="S293" s="338" t="e">
        <f t="shared" si="82"/>
        <v>#DIV/0!</v>
      </c>
    </row>
    <row r="294" spans="1:19" ht="12.75">
      <c r="A294" s="17" t="s">
        <v>92</v>
      </c>
      <c r="B294" s="60"/>
      <c r="C294" s="79"/>
      <c r="D294" s="186">
        <f>2192.75</f>
        <v>2192.75</v>
      </c>
      <c r="E294" s="157"/>
      <c r="F294" s="78">
        <f t="shared" si="78"/>
        <v>2192.75</v>
      </c>
      <c r="G294" s="142"/>
      <c r="H294" s="210"/>
      <c r="I294" s="124">
        <f t="shared" si="79"/>
        <v>2192.75</v>
      </c>
      <c r="J294" s="142">
        <f>2000-1790.75</f>
        <v>209.25</v>
      </c>
      <c r="K294" s="231"/>
      <c r="L294" s="279">
        <f t="shared" si="80"/>
        <v>2402</v>
      </c>
      <c r="M294" s="320"/>
      <c r="N294" s="186"/>
      <c r="O294" s="293">
        <f t="shared" si="81"/>
        <v>2402</v>
      </c>
      <c r="P294" s="323"/>
      <c r="Q294" s="329">
        <f t="shared" si="70"/>
        <v>2402</v>
      </c>
      <c r="R294" s="345">
        <v>2402</v>
      </c>
      <c r="S294" s="338">
        <f t="shared" si="82"/>
        <v>100</v>
      </c>
    </row>
    <row r="295" spans="1:19" ht="12.75">
      <c r="A295" s="17" t="s">
        <v>62</v>
      </c>
      <c r="B295" s="60"/>
      <c r="C295" s="79">
        <v>25649</v>
      </c>
      <c r="D295" s="186">
        <f>-1000+18.54+676.8+350-7735.3</f>
        <v>-7689.96</v>
      </c>
      <c r="E295" s="157"/>
      <c r="F295" s="78">
        <f t="shared" si="78"/>
        <v>17959.04</v>
      </c>
      <c r="G295" s="142">
        <f>0.18+15.51-4547.9+218.24+150</f>
        <v>-4163.97</v>
      </c>
      <c r="H295" s="210"/>
      <c r="I295" s="124">
        <f t="shared" si="79"/>
        <v>13795.07</v>
      </c>
      <c r="J295" s="142">
        <f>-9611.7-2037.74</f>
        <v>-11649.44</v>
      </c>
      <c r="K295" s="231"/>
      <c r="L295" s="279">
        <f t="shared" si="80"/>
        <v>2145.629999999999</v>
      </c>
      <c r="M295" s="320">
        <f>65.13-30-32</f>
        <v>3.1299999999999955</v>
      </c>
      <c r="N295" s="186"/>
      <c r="O295" s="293">
        <f t="shared" si="81"/>
        <v>2148.7599999999993</v>
      </c>
      <c r="P295" s="323">
        <f>-20.9</f>
        <v>-20.9</v>
      </c>
      <c r="Q295" s="329">
        <f t="shared" si="70"/>
        <v>2127.859999999999</v>
      </c>
      <c r="R295" s="345">
        <v>2107.73</v>
      </c>
      <c r="S295" s="338">
        <f t="shared" si="82"/>
        <v>99.0539791151674</v>
      </c>
    </row>
    <row r="296" spans="1:19" ht="12.75">
      <c r="A296" s="20" t="s">
        <v>65</v>
      </c>
      <c r="B296" s="64"/>
      <c r="C296" s="87">
        <f aca="true" t="shared" si="83" ref="C296:R296">SUM(C298:C303)</f>
        <v>0</v>
      </c>
      <c r="D296" s="192">
        <f t="shared" si="83"/>
        <v>1809.7</v>
      </c>
      <c r="E296" s="162"/>
      <c r="F296" s="88">
        <f t="shared" si="83"/>
        <v>1809.7</v>
      </c>
      <c r="G296" s="226">
        <f t="shared" si="83"/>
        <v>1197.4</v>
      </c>
      <c r="H296" s="227">
        <f t="shared" si="83"/>
        <v>0</v>
      </c>
      <c r="I296" s="128">
        <f t="shared" si="83"/>
        <v>3007.1000000000004</v>
      </c>
      <c r="J296" s="263">
        <f t="shared" si="83"/>
        <v>4481.3</v>
      </c>
      <c r="K296" s="256">
        <f t="shared" si="83"/>
        <v>0</v>
      </c>
      <c r="L296" s="283">
        <f t="shared" si="83"/>
        <v>7488.400000000001</v>
      </c>
      <c r="M296" s="256">
        <f t="shared" si="83"/>
        <v>-8.7</v>
      </c>
      <c r="N296" s="303">
        <f t="shared" si="83"/>
        <v>0</v>
      </c>
      <c r="O296" s="245">
        <f t="shared" si="83"/>
        <v>7479.700000000001</v>
      </c>
      <c r="P296" s="87">
        <f t="shared" si="83"/>
        <v>0</v>
      </c>
      <c r="Q296" s="88">
        <f t="shared" si="83"/>
        <v>7479.700000000001</v>
      </c>
      <c r="R296" s="350">
        <f t="shared" si="83"/>
        <v>7479.7</v>
      </c>
      <c r="S296" s="344">
        <f t="shared" si="82"/>
        <v>99.99999999999999</v>
      </c>
    </row>
    <row r="297" spans="1:19" ht="12.75">
      <c r="A297" s="15" t="s">
        <v>31</v>
      </c>
      <c r="B297" s="60"/>
      <c r="C297" s="79"/>
      <c r="D297" s="186"/>
      <c r="E297" s="157"/>
      <c r="F297" s="78"/>
      <c r="G297" s="142"/>
      <c r="H297" s="210"/>
      <c r="I297" s="123"/>
      <c r="J297" s="142"/>
      <c r="K297" s="231"/>
      <c r="L297" s="217"/>
      <c r="M297" s="225"/>
      <c r="N297" s="186"/>
      <c r="O297" s="292"/>
      <c r="P297" s="323"/>
      <c r="Q297" s="329"/>
      <c r="R297" s="345"/>
      <c r="S297" s="338"/>
    </row>
    <row r="298" spans="1:19" ht="12.75">
      <c r="A298" s="17" t="s">
        <v>106</v>
      </c>
      <c r="B298" s="60"/>
      <c r="C298" s="79"/>
      <c r="D298" s="186">
        <f>1194.7+615</f>
        <v>1809.7</v>
      </c>
      <c r="E298" s="157"/>
      <c r="F298" s="78">
        <f aca="true" t="shared" si="84" ref="F298:F303">C298+D298+E298</f>
        <v>1809.7</v>
      </c>
      <c r="G298" s="142">
        <f>1197.4</f>
        <v>1197.4</v>
      </c>
      <c r="H298" s="210"/>
      <c r="I298" s="124">
        <f aca="true" t="shared" si="85" ref="I298:I303">F298+G298+H298</f>
        <v>3007.1000000000004</v>
      </c>
      <c r="J298" s="142">
        <f>745+416.3</f>
        <v>1161.3</v>
      </c>
      <c r="K298" s="231"/>
      <c r="L298" s="279">
        <f aca="true" t="shared" si="86" ref="L298:L303">I298+J298+K298</f>
        <v>4168.400000000001</v>
      </c>
      <c r="M298" s="225">
        <f>-8.7</f>
        <v>-8.7</v>
      </c>
      <c r="N298" s="186"/>
      <c r="O298" s="293">
        <f aca="true" t="shared" si="87" ref="O298:O303">L298+M298+N298</f>
        <v>4159.700000000001</v>
      </c>
      <c r="P298" s="323"/>
      <c r="Q298" s="329">
        <f aca="true" t="shared" si="88" ref="Q298:Q303">O298+P298</f>
        <v>4159.700000000001</v>
      </c>
      <c r="R298" s="345">
        <v>4159.7</v>
      </c>
      <c r="S298" s="338">
        <f t="shared" si="82"/>
        <v>99.99999999999997</v>
      </c>
    </row>
    <row r="299" spans="1:19" ht="12.75" hidden="1">
      <c r="A299" s="17" t="s">
        <v>81</v>
      </c>
      <c r="B299" s="60"/>
      <c r="C299" s="79"/>
      <c r="D299" s="186"/>
      <c r="E299" s="157"/>
      <c r="F299" s="78">
        <f t="shared" si="84"/>
        <v>0</v>
      </c>
      <c r="G299" s="142"/>
      <c r="H299" s="210"/>
      <c r="I299" s="124">
        <f t="shared" si="85"/>
        <v>0</v>
      </c>
      <c r="J299" s="142"/>
      <c r="K299" s="231"/>
      <c r="L299" s="279">
        <f t="shared" si="86"/>
        <v>0</v>
      </c>
      <c r="M299" s="225"/>
      <c r="N299" s="186"/>
      <c r="O299" s="293">
        <f t="shared" si="87"/>
        <v>0</v>
      </c>
      <c r="P299" s="323"/>
      <c r="Q299" s="329">
        <f t="shared" si="88"/>
        <v>0</v>
      </c>
      <c r="R299" s="345"/>
      <c r="S299" s="338" t="e">
        <f t="shared" si="82"/>
        <v>#DIV/0!</v>
      </c>
    </row>
    <row r="300" spans="1:19" ht="12.75" hidden="1">
      <c r="A300" s="17" t="s">
        <v>107</v>
      </c>
      <c r="B300" s="60"/>
      <c r="C300" s="79"/>
      <c r="D300" s="186"/>
      <c r="E300" s="157"/>
      <c r="F300" s="78">
        <f t="shared" si="84"/>
        <v>0</v>
      </c>
      <c r="G300" s="142"/>
      <c r="H300" s="210"/>
      <c r="I300" s="124">
        <f t="shared" si="85"/>
        <v>0</v>
      </c>
      <c r="J300" s="142"/>
      <c r="K300" s="231"/>
      <c r="L300" s="279">
        <f t="shared" si="86"/>
        <v>0</v>
      </c>
      <c r="M300" s="225"/>
      <c r="N300" s="186"/>
      <c r="O300" s="293">
        <f t="shared" si="87"/>
        <v>0</v>
      </c>
      <c r="P300" s="323"/>
      <c r="Q300" s="329">
        <f t="shared" si="88"/>
        <v>0</v>
      </c>
      <c r="R300" s="345"/>
      <c r="S300" s="338" t="e">
        <f t="shared" si="82"/>
        <v>#DIV/0!</v>
      </c>
    </row>
    <row r="301" spans="1:19" ht="12.75" hidden="1">
      <c r="A301" s="17" t="s">
        <v>177</v>
      </c>
      <c r="B301" s="60">
        <v>33910</v>
      </c>
      <c r="C301" s="79"/>
      <c r="D301" s="186"/>
      <c r="E301" s="157"/>
      <c r="F301" s="78">
        <f t="shared" si="84"/>
        <v>0</v>
      </c>
      <c r="G301" s="142"/>
      <c r="H301" s="210"/>
      <c r="I301" s="124">
        <f t="shared" si="85"/>
        <v>0</v>
      </c>
      <c r="J301" s="142"/>
      <c r="K301" s="231"/>
      <c r="L301" s="279">
        <f t="shared" si="86"/>
        <v>0</v>
      </c>
      <c r="M301" s="225"/>
      <c r="N301" s="186"/>
      <c r="O301" s="293">
        <f t="shared" si="87"/>
        <v>0</v>
      </c>
      <c r="P301" s="323"/>
      <c r="Q301" s="329">
        <f t="shared" si="88"/>
        <v>0</v>
      </c>
      <c r="R301" s="345"/>
      <c r="S301" s="338" t="e">
        <f t="shared" si="82"/>
        <v>#DIV/0!</v>
      </c>
    </row>
    <row r="302" spans="1:19" ht="12.75" hidden="1">
      <c r="A302" s="17" t="s">
        <v>66</v>
      </c>
      <c r="B302" s="60"/>
      <c r="C302" s="79"/>
      <c r="D302" s="186"/>
      <c r="E302" s="157"/>
      <c r="F302" s="78">
        <f t="shared" si="84"/>
        <v>0</v>
      </c>
      <c r="G302" s="142"/>
      <c r="H302" s="210"/>
      <c r="I302" s="124">
        <f t="shared" si="85"/>
        <v>0</v>
      </c>
      <c r="J302" s="142"/>
      <c r="K302" s="234"/>
      <c r="L302" s="279">
        <f t="shared" si="86"/>
        <v>0</v>
      </c>
      <c r="M302" s="225"/>
      <c r="N302" s="186"/>
      <c r="O302" s="293">
        <f t="shared" si="87"/>
        <v>0</v>
      </c>
      <c r="P302" s="323"/>
      <c r="Q302" s="329">
        <f t="shared" si="88"/>
        <v>0</v>
      </c>
      <c r="R302" s="345"/>
      <c r="S302" s="338" t="e">
        <f t="shared" si="82"/>
        <v>#DIV/0!</v>
      </c>
    </row>
    <row r="303" spans="1:19" ht="13.5" thickBot="1">
      <c r="A303" s="118" t="s">
        <v>92</v>
      </c>
      <c r="B303" s="115"/>
      <c r="C303" s="116"/>
      <c r="D303" s="194"/>
      <c r="E303" s="163"/>
      <c r="F303" s="117">
        <f t="shared" si="84"/>
        <v>0</v>
      </c>
      <c r="G303" s="139"/>
      <c r="H303" s="219"/>
      <c r="I303" s="140">
        <f t="shared" si="85"/>
        <v>0</v>
      </c>
      <c r="J303" s="139">
        <f>3320</f>
        <v>3320</v>
      </c>
      <c r="K303" s="371"/>
      <c r="L303" s="316">
        <f t="shared" si="86"/>
        <v>3320</v>
      </c>
      <c r="M303" s="300"/>
      <c r="N303" s="194"/>
      <c r="O303" s="301">
        <f t="shared" si="87"/>
        <v>3320</v>
      </c>
      <c r="P303" s="327"/>
      <c r="Q303" s="332">
        <f t="shared" si="88"/>
        <v>3320</v>
      </c>
      <c r="R303" s="355">
        <v>3320</v>
      </c>
      <c r="S303" s="339">
        <f t="shared" si="82"/>
        <v>100</v>
      </c>
    </row>
    <row r="304" spans="1:19" ht="12.75">
      <c r="A304" s="10" t="s">
        <v>108</v>
      </c>
      <c r="B304" s="64"/>
      <c r="C304" s="75">
        <f aca="true" t="shared" si="89" ref="C304:L304">C305+C320</f>
        <v>379723.5</v>
      </c>
      <c r="D304" s="185">
        <f t="shared" si="89"/>
        <v>44378.1</v>
      </c>
      <c r="E304" s="156">
        <f t="shared" si="89"/>
        <v>0</v>
      </c>
      <c r="F304" s="77">
        <f t="shared" si="89"/>
        <v>424101.6</v>
      </c>
      <c r="G304" s="75">
        <f t="shared" si="89"/>
        <v>80731.37</v>
      </c>
      <c r="H304" s="185">
        <f t="shared" si="89"/>
        <v>0</v>
      </c>
      <c r="I304" s="77">
        <f t="shared" si="89"/>
        <v>504832.97</v>
      </c>
      <c r="J304" s="141">
        <f t="shared" si="89"/>
        <v>-2704.6600000000008</v>
      </c>
      <c r="K304" s="230">
        <f t="shared" si="89"/>
        <v>0</v>
      </c>
      <c r="L304" s="217">
        <f t="shared" si="89"/>
        <v>502128.31</v>
      </c>
      <c r="M304" s="230">
        <f aca="true" t="shared" si="90" ref="M304:R304">M305+M320</f>
        <v>1084.48</v>
      </c>
      <c r="N304" s="209">
        <f t="shared" si="90"/>
        <v>-7300</v>
      </c>
      <c r="O304" s="228">
        <f t="shared" si="90"/>
        <v>495912.79000000004</v>
      </c>
      <c r="P304" s="75">
        <f t="shared" si="90"/>
        <v>1566.52</v>
      </c>
      <c r="Q304" s="77">
        <f t="shared" si="90"/>
        <v>497479.31000000006</v>
      </c>
      <c r="R304" s="346">
        <f t="shared" si="90"/>
        <v>487233.6600000001</v>
      </c>
      <c r="S304" s="337">
        <f t="shared" si="82"/>
        <v>97.94048721342804</v>
      </c>
    </row>
    <row r="305" spans="1:19" ht="12.75">
      <c r="A305" s="19" t="s">
        <v>59</v>
      </c>
      <c r="B305" s="64"/>
      <c r="C305" s="84">
        <f aca="true" t="shared" si="91" ref="C305:L305">SUM(C307:C319)</f>
        <v>379723.5</v>
      </c>
      <c r="D305" s="191">
        <f t="shared" si="91"/>
        <v>17378.1</v>
      </c>
      <c r="E305" s="160">
        <f t="shared" si="91"/>
        <v>0</v>
      </c>
      <c r="F305" s="85">
        <f t="shared" si="91"/>
        <v>397101.6</v>
      </c>
      <c r="G305" s="84">
        <f t="shared" si="91"/>
        <v>19244.52</v>
      </c>
      <c r="H305" s="191">
        <f t="shared" si="91"/>
        <v>0</v>
      </c>
      <c r="I305" s="85">
        <f t="shared" si="91"/>
        <v>416346.12</v>
      </c>
      <c r="J305" s="146">
        <f t="shared" si="91"/>
        <v>-5090.7300000000005</v>
      </c>
      <c r="K305" s="235">
        <f t="shared" si="91"/>
        <v>0</v>
      </c>
      <c r="L305" s="282">
        <f t="shared" si="91"/>
        <v>411255.39</v>
      </c>
      <c r="M305" s="235">
        <f aca="true" t="shared" si="92" ref="M305:R305">SUM(M307:M319)</f>
        <v>157.78</v>
      </c>
      <c r="N305" s="214">
        <f t="shared" si="92"/>
        <v>-7300</v>
      </c>
      <c r="O305" s="244">
        <f t="shared" si="92"/>
        <v>404113.17000000004</v>
      </c>
      <c r="P305" s="84">
        <f t="shared" si="92"/>
        <v>198.51</v>
      </c>
      <c r="Q305" s="85">
        <f t="shared" si="92"/>
        <v>404311.68000000005</v>
      </c>
      <c r="R305" s="349">
        <f t="shared" si="92"/>
        <v>394066.0300000001</v>
      </c>
      <c r="S305" s="344">
        <f t="shared" si="82"/>
        <v>97.46590303797309</v>
      </c>
    </row>
    <row r="306" spans="1:19" ht="12.75">
      <c r="A306" s="15" t="s">
        <v>31</v>
      </c>
      <c r="B306" s="60"/>
      <c r="C306" s="79"/>
      <c r="D306" s="186"/>
      <c r="E306" s="157"/>
      <c r="F306" s="77"/>
      <c r="G306" s="142"/>
      <c r="H306" s="210"/>
      <c r="I306" s="123"/>
      <c r="J306" s="142"/>
      <c r="K306" s="231"/>
      <c r="L306" s="217"/>
      <c r="M306" s="225"/>
      <c r="N306" s="186"/>
      <c r="O306" s="292"/>
      <c r="P306" s="323"/>
      <c r="Q306" s="329"/>
      <c r="R306" s="345"/>
      <c r="S306" s="338"/>
    </row>
    <row r="307" spans="1:19" ht="12.75">
      <c r="A307" s="12" t="s">
        <v>89</v>
      </c>
      <c r="B307" s="60"/>
      <c r="C307" s="79">
        <v>223604</v>
      </c>
      <c r="D307" s="186"/>
      <c r="E307" s="157"/>
      <c r="F307" s="78">
        <f aca="true" t="shared" si="93" ref="F307:F319">C307+D307+E307</f>
        <v>223604</v>
      </c>
      <c r="G307" s="142">
        <f>-7779+28.04</f>
        <v>-7750.96</v>
      </c>
      <c r="H307" s="210"/>
      <c r="I307" s="124">
        <f aca="true" t="shared" si="94" ref="I307:I319">F307+G307+H307</f>
        <v>215853.04</v>
      </c>
      <c r="J307" s="142">
        <f>-1000+885</f>
        <v>-115</v>
      </c>
      <c r="K307" s="231">
        <f>3415</f>
        <v>3415</v>
      </c>
      <c r="L307" s="279">
        <f>I307+J307+K307</f>
        <v>219153.04</v>
      </c>
      <c r="M307" s="225"/>
      <c r="N307" s="186">
        <v>-7300</v>
      </c>
      <c r="O307" s="293">
        <f aca="true" t="shared" si="95" ref="O307:O319">L307+M307+N307</f>
        <v>211853.04</v>
      </c>
      <c r="P307" s="323"/>
      <c r="Q307" s="329">
        <f>O307+P307</f>
        <v>211853.04</v>
      </c>
      <c r="R307" s="345">
        <v>211853.04</v>
      </c>
      <c r="S307" s="338">
        <f t="shared" si="82"/>
        <v>100</v>
      </c>
    </row>
    <row r="308" spans="1:19" ht="12.75">
      <c r="A308" s="61" t="s">
        <v>294</v>
      </c>
      <c r="B308" s="60"/>
      <c r="C308" s="79">
        <v>11769</v>
      </c>
      <c r="D308" s="186"/>
      <c r="E308" s="157"/>
      <c r="F308" s="78">
        <f t="shared" si="93"/>
        <v>11769</v>
      </c>
      <c r="G308" s="142">
        <f>7779</f>
        <v>7779</v>
      </c>
      <c r="H308" s="210"/>
      <c r="I308" s="124">
        <f t="shared" si="94"/>
        <v>19548</v>
      </c>
      <c r="J308" s="142">
        <f>-7500-885</f>
        <v>-8385</v>
      </c>
      <c r="K308" s="231">
        <f>-4900-3415</f>
        <v>-8315</v>
      </c>
      <c r="L308" s="279">
        <f aca="true" t="shared" si="96" ref="L308:L316">I308+J308+K308</f>
        <v>2848</v>
      </c>
      <c r="M308" s="225"/>
      <c r="N308" s="186"/>
      <c r="O308" s="293">
        <f t="shared" si="95"/>
        <v>2848</v>
      </c>
      <c r="P308" s="323"/>
      <c r="Q308" s="329">
        <f aca="true" t="shared" si="97" ref="Q308:Q317">O308+P308</f>
        <v>2848</v>
      </c>
      <c r="R308" s="345"/>
      <c r="S308" s="361" t="s">
        <v>400</v>
      </c>
    </row>
    <row r="309" spans="1:19" ht="12.75">
      <c r="A309" s="17" t="s">
        <v>76</v>
      </c>
      <c r="B309" s="60"/>
      <c r="C309" s="79">
        <v>100000</v>
      </c>
      <c r="D309" s="186"/>
      <c r="E309" s="157"/>
      <c r="F309" s="78">
        <f t="shared" si="93"/>
        <v>100000</v>
      </c>
      <c r="G309" s="142">
        <f>30000</f>
        <v>30000</v>
      </c>
      <c r="H309" s="210"/>
      <c r="I309" s="124">
        <f t="shared" si="94"/>
        <v>130000</v>
      </c>
      <c r="J309" s="142"/>
      <c r="K309" s="231">
        <f>500+25000</f>
        <v>25500</v>
      </c>
      <c r="L309" s="279">
        <f t="shared" si="96"/>
        <v>155500</v>
      </c>
      <c r="M309" s="225"/>
      <c r="N309" s="186"/>
      <c r="O309" s="293">
        <f t="shared" si="95"/>
        <v>155500</v>
      </c>
      <c r="P309" s="323"/>
      <c r="Q309" s="329">
        <f t="shared" si="97"/>
        <v>155500</v>
      </c>
      <c r="R309" s="345">
        <v>155500</v>
      </c>
      <c r="S309" s="338">
        <f t="shared" si="82"/>
        <v>100</v>
      </c>
    </row>
    <row r="310" spans="1:19" ht="12.75">
      <c r="A310" s="17" t="s">
        <v>227</v>
      </c>
      <c r="B310" s="60"/>
      <c r="C310" s="79">
        <v>30000</v>
      </c>
      <c r="D310" s="186">
        <f>8686.5</f>
        <v>8686.5</v>
      </c>
      <c r="E310" s="157"/>
      <c r="F310" s="78">
        <f t="shared" si="93"/>
        <v>38686.5</v>
      </c>
      <c r="G310" s="142">
        <f>-30000+15000</f>
        <v>-15000</v>
      </c>
      <c r="H310" s="210"/>
      <c r="I310" s="124">
        <f t="shared" si="94"/>
        <v>23686.5</v>
      </c>
      <c r="J310" s="142"/>
      <c r="K310" s="231">
        <f>-23686.5</f>
        <v>-23686.5</v>
      </c>
      <c r="L310" s="279">
        <f t="shared" si="96"/>
        <v>0</v>
      </c>
      <c r="M310" s="225"/>
      <c r="N310" s="186"/>
      <c r="O310" s="293">
        <f t="shared" si="95"/>
        <v>0</v>
      </c>
      <c r="P310" s="323"/>
      <c r="Q310" s="329">
        <f t="shared" si="97"/>
        <v>0</v>
      </c>
      <c r="R310" s="345"/>
      <c r="S310" s="361" t="s">
        <v>400</v>
      </c>
    </row>
    <row r="311" spans="1:19" ht="12.75">
      <c r="A311" s="17" t="s">
        <v>62</v>
      </c>
      <c r="B311" s="60"/>
      <c r="C311" s="89">
        <v>14350.5</v>
      </c>
      <c r="D311" s="186">
        <f>3983.5+1840+2700</f>
        <v>8523.5</v>
      </c>
      <c r="E311" s="157"/>
      <c r="F311" s="78">
        <f t="shared" si="93"/>
        <v>22874</v>
      </c>
      <c r="G311" s="142">
        <f>-100+2214.41</f>
        <v>2114.41</v>
      </c>
      <c r="H311" s="210"/>
      <c r="I311" s="124">
        <f t="shared" si="94"/>
        <v>24988.41</v>
      </c>
      <c r="J311" s="142"/>
      <c r="K311" s="231">
        <f>-500+4900-1313.5</f>
        <v>3086.5</v>
      </c>
      <c r="L311" s="279">
        <f t="shared" si="96"/>
        <v>28074.91</v>
      </c>
      <c r="M311" s="225"/>
      <c r="N311" s="186"/>
      <c r="O311" s="293">
        <f t="shared" si="95"/>
        <v>28074.91</v>
      </c>
      <c r="P311" s="323"/>
      <c r="Q311" s="329">
        <f t="shared" si="97"/>
        <v>28074.91</v>
      </c>
      <c r="R311" s="345">
        <v>20677.26</v>
      </c>
      <c r="S311" s="338">
        <f t="shared" si="82"/>
        <v>73.65031624322215</v>
      </c>
    </row>
    <row r="312" spans="1:19" ht="12.75" hidden="1">
      <c r="A312" s="17" t="s">
        <v>93</v>
      </c>
      <c r="B312" s="60"/>
      <c r="C312" s="89"/>
      <c r="D312" s="186"/>
      <c r="E312" s="157"/>
      <c r="F312" s="78">
        <f t="shared" si="93"/>
        <v>0</v>
      </c>
      <c r="G312" s="142"/>
      <c r="H312" s="210"/>
      <c r="I312" s="124">
        <f t="shared" si="94"/>
        <v>0</v>
      </c>
      <c r="J312" s="142"/>
      <c r="K312" s="231"/>
      <c r="L312" s="279">
        <f t="shared" si="96"/>
        <v>0</v>
      </c>
      <c r="M312" s="225"/>
      <c r="N312" s="186"/>
      <c r="O312" s="293">
        <f t="shared" si="95"/>
        <v>0</v>
      </c>
      <c r="P312" s="323"/>
      <c r="Q312" s="329">
        <f t="shared" si="97"/>
        <v>0</v>
      </c>
      <c r="R312" s="345"/>
      <c r="S312" s="338" t="e">
        <f t="shared" si="82"/>
        <v>#DIV/0!</v>
      </c>
    </row>
    <row r="313" spans="1:19" ht="12.75" hidden="1">
      <c r="A313" s="17" t="s">
        <v>166</v>
      </c>
      <c r="B313" s="60"/>
      <c r="C313" s="89"/>
      <c r="D313" s="186"/>
      <c r="E313" s="157"/>
      <c r="F313" s="78">
        <f t="shared" si="93"/>
        <v>0</v>
      </c>
      <c r="G313" s="142"/>
      <c r="H313" s="210"/>
      <c r="I313" s="124">
        <f t="shared" si="94"/>
        <v>0</v>
      </c>
      <c r="J313" s="142"/>
      <c r="K313" s="231"/>
      <c r="L313" s="279">
        <f t="shared" si="96"/>
        <v>0</v>
      </c>
      <c r="M313" s="225"/>
      <c r="N313" s="186"/>
      <c r="O313" s="293">
        <f t="shared" si="95"/>
        <v>0</v>
      </c>
      <c r="P313" s="323"/>
      <c r="Q313" s="329">
        <f t="shared" si="97"/>
        <v>0</v>
      </c>
      <c r="R313" s="345"/>
      <c r="S313" s="338" t="e">
        <f t="shared" si="82"/>
        <v>#DIV/0!</v>
      </c>
    </row>
    <row r="314" spans="1:19" ht="12.75">
      <c r="A314" s="61" t="s">
        <v>362</v>
      </c>
      <c r="B314" s="60">
        <v>35018</v>
      </c>
      <c r="C314" s="89"/>
      <c r="D314" s="186"/>
      <c r="E314" s="157"/>
      <c r="F314" s="78"/>
      <c r="G314" s="142"/>
      <c r="H314" s="210"/>
      <c r="I314" s="124">
        <f t="shared" si="94"/>
        <v>0</v>
      </c>
      <c r="J314" s="142">
        <v>2850.21</v>
      </c>
      <c r="K314" s="231"/>
      <c r="L314" s="279">
        <f t="shared" si="96"/>
        <v>2850.21</v>
      </c>
      <c r="M314" s="225"/>
      <c r="N314" s="186"/>
      <c r="O314" s="293">
        <f t="shared" si="95"/>
        <v>2850.21</v>
      </c>
      <c r="P314" s="323"/>
      <c r="Q314" s="329">
        <f t="shared" si="97"/>
        <v>2850.21</v>
      </c>
      <c r="R314" s="345">
        <v>2850.21</v>
      </c>
      <c r="S314" s="338">
        <f t="shared" si="82"/>
        <v>100</v>
      </c>
    </row>
    <row r="315" spans="1:19" ht="12.75">
      <c r="A315" s="17" t="s">
        <v>347</v>
      </c>
      <c r="B315" s="60">
        <v>17003</v>
      </c>
      <c r="C315" s="89"/>
      <c r="D315" s="186"/>
      <c r="E315" s="157"/>
      <c r="F315" s="78">
        <f t="shared" si="93"/>
        <v>0</v>
      </c>
      <c r="G315" s="142">
        <f>1726.48</f>
        <v>1726.48</v>
      </c>
      <c r="H315" s="210"/>
      <c r="I315" s="124">
        <f t="shared" si="94"/>
        <v>1726.48</v>
      </c>
      <c r="J315" s="142"/>
      <c r="K315" s="231"/>
      <c r="L315" s="279">
        <f t="shared" si="96"/>
        <v>1726.48</v>
      </c>
      <c r="M315" s="225"/>
      <c r="N315" s="186"/>
      <c r="O315" s="293">
        <f t="shared" si="95"/>
        <v>1726.48</v>
      </c>
      <c r="P315" s="323"/>
      <c r="Q315" s="329">
        <f t="shared" si="97"/>
        <v>1726.48</v>
      </c>
      <c r="R315" s="345">
        <v>1726.48</v>
      </c>
      <c r="S315" s="338">
        <f t="shared" si="82"/>
        <v>100</v>
      </c>
    </row>
    <row r="316" spans="1:19" ht="12.75">
      <c r="A316" s="17" t="s">
        <v>345</v>
      </c>
      <c r="B316" s="60">
        <v>35050</v>
      </c>
      <c r="C316" s="89"/>
      <c r="D316" s="186"/>
      <c r="E316" s="157"/>
      <c r="F316" s="78">
        <f t="shared" si="93"/>
        <v>0</v>
      </c>
      <c r="G316" s="142">
        <f>34</f>
        <v>34</v>
      </c>
      <c r="H316" s="210"/>
      <c r="I316" s="124">
        <f t="shared" si="94"/>
        <v>34</v>
      </c>
      <c r="J316" s="142"/>
      <c r="K316" s="231"/>
      <c r="L316" s="279">
        <f t="shared" si="96"/>
        <v>34</v>
      </c>
      <c r="M316" s="225"/>
      <c r="N316" s="186"/>
      <c r="O316" s="293">
        <f t="shared" si="95"/>
        <v>34</v>
      </c>
      <c r="P316" s="323"/>
      <c r="Q316" s="329">
        <f t="shared" si="97"/>
        <v>34</v>
      </c>
      <c r="R316" s="345">
        <v>34</v>
      </c>
      <c r="S316" s="338">
        <f t="shared" si="82"/>
        <v>100</v>
      </c>
    </row>
    <row r="317" spans="1:19" ht="12.75">
      <c r="A317" s="17" t="s">
        <v>109</v>
      </c>
      <c r="B317" s="60">
        <v>98335</v>
      </c>
      <c r="C317" s="79"/>
      <c r="D317" s="186"/>
      <c r="E317" s="157"/>
      <c r="F317" s="78">
        <f t="shared" si="93"/>
        <v>0</v>
      </c>
      <c r="G317" s="142">
        <f>169.11</f>
        <v>169.11</v>
      </c>
      <c r="H317" s="210"/>
      <c r="I317" s="124">
        <f t="shared" si="94"/>
        <v>169.11</v>
      </c>
      <c r="J317" s="142">
        <f>163.94+173.08</f>
        <v>337.02</v>
      </c>
      <c r="K317" s="231"/>
      <c r="L317" s="279">
        <f>I317+J317+K317</f>
        <v>506.13</v>
      </c>
      <c r="M317" s="321"/>
      <c r="N317" s="186"/>
      <c r="O317" s="293">
        <f t="shared" si="95"/>
        <v>506.13</v>
      </c>
      <c r="P317" s="323">
        <f>169.13</f>
        <v>169.13</v>
      </c>
      <c r="Q317" s="329">
        <f t="shared" si="97"/>
        <v>675.26</v>
      </c>
      <c r="R317" s="345">
        <v>675.26</v>
      </c>
      <c r="S317" s="338">
        <f t="shared" si="82"/>
        <v>100</v>
      </c>
    </row>
    <row r="318" spans="1:19" ht="12.75">
      <c r="A318" s="17" t="s">
        <v>354</v>
      </c>
      <c r="B318" s="60">
        <v>35063</v>
      </c>
      <c r="C318" s="79"/>
      <c r="D318" s="186"/>
      <c r="E318" s="157"/>
      <c r="F318" s="78">
        <f t="shared" si="93"/>
        <v>0</v>
      </c>
      <c r="G318" s="142">
        <f>48.25</f>
        <v>48.25</v>
      </c>
      <c r="H318" s="210"/>
      <c r="I318" s="124">
        <f t="shared" si="94"/>
        <v>48.25</v>
      </c>
      <c r="J318" s="142"/>
      <c r="K318" s="231"/>
      <c r="L318" s="279">
        <f>I318+J318+K318</f>
        <v>48.25</v>
      </c>
      <c r="M318" s="225"/>
      <c r="N318" s="186"/>
      <c r="O318" s="293">
        <f t="shared" si="95"/>
        <v>48.25</v>
      </c>
      <c r="P318" s="323"/>
      <c r="Q318" s="329">
        <f>O318+P318</f>
        <v>48.25</v>
      </c>
      <c r="R318" s="345">
        <v>48.25</v>
      </c>
      <c r="S318" s="338">
        <f t="shared" si="82"/>
        <v>100</v>
      </c>
    </row>
    <row r="319" spans="1:19" ht="12.75">
      <c r="A319" s="17" t="s">
        <v>110</v>
      </c>
      <c r="B319" s="60">
        <v>98297</v>
      </c>
      <c r="C319" s="79"/>
      <c r="D319" s="186">
        <f>168.1</f>
        <v>168.1</v>
      </c>
      <c r="E319" s="157"/>
      <c r="F319" s="78">
        <f t="shared" si="93"/>
        <v>168.1</v>
      </c>
      <c r="G319" s="142">
        <f>124.23</f>
        <v>124.23</v>
      </c>
      <c r="H319" s="210"/>
      <c r="I319" s="124">
        <f t="shared" si="94"/>
        <v>292.33</v>
      </c>
      <c r="J319" s="142">
        <f>222.04</f>
        <v>222.04</v>
      </c>
      <c r="K319" s="231"/>
      <c r="L319" s="279">
        <f>I319+J319+K319</f>
        <v>514.37</v>
      </c>
      <c r="M319" s="225">
        <f>157.78</f>
        <v>157.78</v>
      </c>
      <c r="N319" s="186"/>
      <c r="O319" s="293">
        <f t="shared" si="95"/>
        <v>672.15</v>
      </c>
      <c r="P319" s="323">
        <f>29.38</f>
        <v>29.38</v>
      </c>
      <c r="Q319" s="329">
        <f>O319+P319</f>
        <v>701.53</v>
      </c>
      <c r="R319" s="345">
        <v>701.53</v>
      </c>
      <c r="S319" s="338">
        <f t="shared" si="82"/>
        <v>100</v>
      </c>
    </row>
    <row r="320" spans="1:19" ht="12.75">
      <c r="A320" s="19" t="s">
        <v>65</v>
      </c>
      <c r="B320" s="64"/>
      <c r="C320" s="84">
        <f aca="true" t="shared" si="98" ref="C320:R320">SUM(C322:C327)</f>
        <v>0</v>
      </c>
      <c r="D320" s="191">
        <f t="shared" si="98"/>
        <v>27000</v>
      </c>
      <c r="E320" s="160">
        <f t="shared" si="98"/>
        <v>0</v>
      </c>
      <c r="F320" s="85">
        <f t="shared" si="98"/>
        <v>27000</v>
      </c>
      <c r="G320" s="84">
        <f t="shared" si="98"/>
        <v>61486.85</v>
      </c>
      <c r="H320" s="191">
        <f t="shared" si="98"/>
        <v>0</v>
      </c>
      <c r="I320" s="85">
        <f t="shared" si="98"/>
        <v>88486.85</v>
      </c>
      <c r="J320" s="146">
        <f t="shared" si="98"/>
        <v>2386.0699999999997</v>
      </c>
      <c r="K320" s="235">
        <f t="shared" si="98"/>
        <v>0</v>
      </c>
      <c r="L320" s="282">
        <f t="shared" si="98"/>
        <v>90872.92</v>
      </c>
      <c r="M320" s="235">
        <f t="shared" si="98"/>
        <v>926.7</v>
      </c>
      <c r="N320" s="214">
        <f t="shared" si="98"/>
        <v>0</v>
      </c>
      <c r="O320" s="244">
        <f t="shared" si="98"/>
        <v>91799.62</v>
      </c>
      <c r="P320" s="84">
        <f t="shared" si="98"/>
        <v>1368.01</v>
      </c>
      <c r="Q320" s="85">
        <f t="shared" si="98"/>
        <v>93167.63</v>
      </c>
      <c r="R320" s="349">
        <f t="shared" si="98"/>
        <v>93167.63</v>
      </c>
      <c r="S320" s="344">
        <f t="shared" si="82"/>
        <v>100</v>
      </c>
    </row>
    <row r="321" spans="1:19" ht="12.75">
      <c r="A321" s="15" t="s">
        <v>31</v>
      </c>
      <c r="B321" s="60"/>
      <c r="C321" s="79"/>
      <c r="D321" s="186"/>
      <c r="E321" s="157"/>
      <c r="F321" s="78"/>
      <c r="G321" s="142"/>
      <c r="H321" s="210"/>
      <c r="I321" s="124"/>
      <c r="J321" s="142"/>
      <c r="K321" s="231"/>
      <c r="L321" s="279"/>
      <c r="M321" s="225"/>
      <c r="N321" s="186"/>
      <c r="O321" s="293"/>
      <c r="P321" s="323"/>
      <c r="Q321" s="329"/>
      <c r="R321" s="345"/>
      <c r="S321" s="338"/>
    </row>
    <row r="322" spans="1:19" ht="12.75">
      <c r="A322" s="17" t="s">
        <v>66</v>
      </c>
      <c r="B322" s="60"/>
      <c r="C322" s="79"/>
      <c r="D322" s="186"/>
      <c r="E322" s="157"/>
      <c r="F322" s="78">
        <f>C322+D322+E322</f>
        <v>0</v>
      </c>
      <c r="G322" s="142">
        <f>100</f>
        <v>100</v>
      </c>
      <c r="H322" s="210"/>
      <c r="I322" s="124">
        <f aca="true" t="shared" si="99" ref="I322:I327">F322+G322+H322</f>
        <v>100</v>
      </c>
      <c r="J322" s="142"/>
      <c r="K322" s="231"/>
      <c r="L322" s="279">
        <f aca="true" t="shared" si="100" ref="L322:L327">I322+J322+K322</f>
        <v>100</v>
      </c>
      <c r="M322" s="225"/>
      <c r="N322" s="186"/>
      <c r="O322" s="293">
        <f aca="true" t="shared" si="101" ref="O322:O327">L322+M322+N322</f>
        <v>100</v>
      </c>
      <c r="P322" s="323"/>
      <c r="Q322" s="329">
        <f aca="true" t="shared" si="102" ref="Q322:Q327">O322+P322</f>
        <v>100</v>
      </c>
      <c r="R322" s="345">
        <v>100</v>
      </c>
      <c r="S322" s="338">
        <f t="shared" si="82"/>
        <v>100</v>
      </c>
    </row>
    <row r="323" spans="1:19" ht="12.75" hidden="1">
      <c r="A323" s="17" t="s">
        <v>81</v>
      </c>
      <c r="B323" s="60"/>
      <c r="C323" s="79"/>
      <c r="D323" s="186"/>
      <c r="E323" s="157"/>
      <c r="F323" s="78">
        <f>C323+D323+E323</f>
        <v>0</v>
      </c>
      <c r="G323" s="142"/>
      <c r="H323" s="210"/>
      <c r="I323" s="124">
        <f t="shared" si="99"/>
        <v>0</v>
      </c>
      <c r="J323" s="142"/>
      <c r="K323" s="231"/>
      <c r="L323" s="279">
        <f t="shared" si="100"/>
        <v>0</v>
      </c>
      <c r="M323" s="225"/>
      <c r="N323" s="186"/>
      <c r="O323" s="293">
        <f t="shared" si="101"/>
        <v>0</v>
      </c>
      <c r="P323" s="323"/>
      <c r="Q323" s="329">
        <f t="shared" si="102"/>
        <v>0</v>
      </c>
      <c r="R323" s="345"/>
      <c r="S323" s="338" t="e">
        <f t="shared" si="82"/>
        <v>#DIV/0!</v>
      </c>
    </row>
    <row r="324" spans="1:19" ht="12.75">
      <c r="A324" s="17" t="s">
        <v>308</v>
      </c>
      <c r="B324" s="60"/>
      <c r="C324" s="79"/>
      <c r="D324" s="186">
        <f>27000</f>
        <v>27000</v>
      </c>
      <c r="E324" s="157"/>
      <c r="F324" s="78">
        <f>C324+D324+E324</f>
        <v>27000</v>
      </c>
      <c r="G324" s="142"/>
      <c r="H324" s="210"/>
      <c r="I324" s="124">
        <f t="shared" si="99"/>
        <v>27000</v>
      </c>
      <c r="J324" s="142"/>
      <c r="K324" s="231"/>
      <c r="L324" s="279">
        <f t="shared" si="100"/>
        <v>27000</v>
      </c>
      <c r="M324" s="225"/>
      <c r="N324" s="186"/>
      <c r="O324" s="293">
        <f t="shared" si="101"/>
        <v>27000</v>
      </c>
      <c r="P324" s="323"/>
      <c r="Q324" s="329">
        <f t="shared" si="102"/>
        <v>27000</v>
      </c>
      <c r="R324" s="345">
        <v>27000</v>
      </c>
      <c r="S324" s="338">
        <f t="shared" si="82"/>
        <v>100</v>
      </c>
    </row>
    <row r="325" spans="1:19" ht="12.75">
      <c r="A325" s="61" t="s">
        <v>362</v>
      </c>
      <c r="B325" s="60">
        <v>35963</v>
      </c>
      <c r="C325" s="79"/>
      <c r="D325" s="186"/>
      <c r="E325" s="157"/>
      <c r="F325" s="78"/>
      <c r="G325" s="142"/>
      <c r="H325" s="210"/>
      <c r="I325" s="124">
        <f t="shared" si="99"/>
        <v>0</v>
      </c>
      <c r="J325" s="142">
        <f>137.65+559.12+918.56+640</f>
        <v>2255.33</v>
      </c>
      <c r="K325" s="231"/>
      <c r="L325" s="279">
        <f t="shared" si="100"/>
        <v>2255.33</v>
      </c>
      <c r="M325" s="225">
        <f>926.7</f>
        <v>926.7</v>
      </c>
      <c r="N325" s="186"/>
      <c r="O325" s="293">
        <f t="shared" si="101"/>
        <v>3182.0299999999997</v>
      </c>
      <c r="P325" s="323">
        <f>988.81+179.2+200</f>
        <v>1368.01</v>
      </c>
      <c r="Q325" s="329">
        <f t="shared" si="102"/>
        <v>4550.04</v>
      </c>
      <c r="R325" s="345">
        <v>4550.04</v>
      </c>
      <c r="S325" s="338">
        <f t="shared" si="82"/>
        <v>100</v>
      </c>
    </row>
    <row r="326" spans="1:19" ht="12.75">
      <c r="A326" s="24" t="s">
        <v>347</v>
      </c>
      <c r="B326" s="63">
        <v>17871</v>
      </c>
      <c r="C326" s="86"/>
      <c r="D326" s="193"/>
      <c r="E326" s="161"/>
      <c r="F326" s="112">
        <f>C326+D326+E326</f>
        <v>0</v>
      </c>
      <c r="G326" s="136">
        <f>61386.85</f>
        <v>61386.85</v>
      </c>
      <c r="H326" s="215"/>
      <c r="I326" s="129">
        <f t="shared" si="99"/>
        <v>61386.85</v>
      </c>
      <c r="J326" s="136">
        <f>130.74</f>
        <v>130.74</v>
      </c>
      <c r="K326" s="233"/>
      <c r="L326" s="315">
        <f t="shared" si="100"/>
        <v>61517.59</v>
      </c>
      <c r="M326" s="274"/>
      <c r="N326" s="193"/>
      <c r="O326" s="295">
        <f t="shared" si="101"/>
        <v>61517.59</v>
      </c>
      <c r="P326" s="326"/>
      <c r="Q326" s="330">
        <f t="shared" si="102"/>
        <v>61517.59</v>
      </c>
      <c r="R326" s="351">
        <v>61517.59</v>
      </c>
      <c r="S326" s="340">
        <f t="shared" si="82"/>
        <v>100</v>
      </c>
    </row>
    <row r="327" spans="1:19" ht="12.75" hidden="1">
      <c r="A327" s="16" t="s">
        <v>93</v>
      </c>
      <c r="B327" s="63"/>
      <c r="C327" s="86"/>
      <c r="D327" s="193"/>
      <c r="E327" s="161"/>
      <c r="F327" s="112">
        <f>C327+D327+E327</f>
        <v>0</v>
      </c>
      <c r="G327" s="136"/>
      <c r="H327" s="215"/>
      <c r="I327" s="129">
        <f t="shared" si="99"/>
        <v>0</v>
      </c>
      <c r="J327" s="136"/>
      <c r="K327" s="233"/>
      <c r="L327" s="315">
        <f t="shared" si="100"/>
        <v>0</v>
      </c>
      <c r="M327" s="274"/>
      <c r="N327" s="193"/>
      <c r="O327" s="295">
        <f t="shared" si="101"/>
        <v>0</v>
      </c>
      <c r="P327" s="326"/>
      <c r="Q327" s="330">
        <f t="shared" si="102"/>
        <v>0</v>
      </c>
      <c r="R327" s="345"/>
      <c r="S327" s="338" t="e">
        <f t="shared" si="82"/>
        <v>#DIV/0!</v>
      </c>
    </row>
    <row r="328" spans="1:19" ht="12.75">
      <c r="A328" s="25" t="s">
        <v>111</v>
      </c>
      <c r="B328" s="65"/>
      <c r="C328" s="80">
        <f aca="true" t="shared" si="103" ref="C328:O328">C329+C341</f>
        <v>153568.4</v>
      </c>
      <c r="D328" s="189">
        <f t="shared" si="103"/>
        <v>689.4699999999998</v>
      </c>
      <c r="E328" s="158">
        <f t="shared" si="103"/>
        <v>0</v>
      </c>
      <c r="F328" s="81">
        <f t="shared" si="103"/>
        <v>154257.87</v>
      </c>
      <c r="G328" s="80">
        <f t="shared" si="103"/>
        <v>1657.77</v>
      </c>
      <c r="H328" s="189">
        <f t="shared" si="103"/>
        <v>0</v>
      </c>
      <c r="I328" s="81">
        <f t="shared" si="103"/>
        <v>155915.63999999998</v>
      </c>
      <c r="J328" s="144">
        <f t="shared" si="103"/>
        <v>4334.5</v>
      </c>
      <c r="K328" s="232">
        <f t="shared" si="103"/>
        <v>0</v>
      </c>
      <c r="L328" s="280">
        <f t="shared" si="103"/>
        <v>160250.13999999998</v>
      </c>
      <c r="M328" s="232">
        <f t="shared" si="103"/>
        <v>175</v>
      </c>
      <c r="N328" s="212">
        <f t="shared" si="103"/>
        <v>0</v>
      </c>
      <c r="O328" s="242">
        <f t="shared" si="103"/>
        <v>160425.13999999998</v>
      </c>
      <c r="P328" s="80">
        <f>P329+P341</f>
        <v>400</v>
      </c>
      <c r="Q328" s="81">
        <f>Q329+Q341</f>
        <v>160825.13999999998</v>
      </c>
      <c r="R328" s="347">
        <f>R329+R341</f>
        <v>160814.74</v>
      </c>
      <c r="S328" s="337">
        <f t="shared" si="82"/>
        <v>99.99353334932586</v>
      </c>
    </row>
    <row r="329" spans="1:19" ht="12.75">
      <c r="A329" s="19" t="s">
        <v>59</v>
      </c>
      <c r="B329" s="64"/>
      <c r="C329" s="84">
        <f aca="true" t="shared" si="104" ref="C329:O329">SUM(C331:C340)</f>
        <v>153568.4</v>
      </c>
      <c r="D329" s="191">
        <f t="shared" si="104"/>
        <v>689.4699999999998</v>
      </c>
      <c r="E329" s="160">
        <f t="shared" si="104"/>
        <v>0</v>
      </c>
      <c r="F329" s="85">
        <f t="shared" si="104"/>
        <v>154257.87</v>
      </c>
      <c r="G329" s="84">
        <f t="shared" si="104"/>
        <v>1657.77</v>
      </c>
      <c r="H329" s="191">
        <f t="shared" si="104"/>
        <v>0</v>
      </c>
      <c r="I329" s="85">
        <f t="shared" si="104"/>
        <v>155915.63999999998</v>
      </c>
      <c r="J329" s="146">
        <f t="shared" si="104"/>
        <v>3021.5</v>
      </c>
      <c r="K329" s="235">
        <f t="shared" si="104"/>
        <v>0</v>
      </c>
      <c r="L329" s="282">
        <f t="shared" si="104"/>
        <v>158937.13999999998</v>
      </c>
      <c r="M329" s="235">
        <f t="shared" si="104"/>
        <v>175</v>
      </c>
      <c r="N329" s="214">
        <f t="shared" si="104"/>
        <v>0</v>
      </c>
      <c r="O329" s="244">
        <f t="shared" si="104"/>
        <v>159112.13999999998</v>
      </c>
      <c r="P329" s="84">
        <f>SUM(P331:P340)</f>
        <v>400</v>
      </c>
      <c r="Q329" s="85">
        <f>SUM(Q331:Q340)</f>
        <v>159512.13999999998</v>
      </c>
      <c r="R329" s="349">
        <f>SUM(R331:R340)</f>
        <v>159501.74</v>
      </c>
      <c r="S329" s="344">
        <f t="shared" si="82"/>
        <v>99.99348012007113</v>
      </c>
    </row>
    <row r="330" spans="1:19" ht="12.75">
      <c r="A330" s="15" t="s">
        <v>31</v>
      </c>
      <c r="B330" s="60"/>
      <c r="C330" s="79"/>
      <c r="D330" s="186"/>
      <c r="E330" s="157"/>
      <c r="F330" s="78"/>
      <c r="G330" s="142"/>
      <c r="H330" s="210"/>
      <c r="I330" s="124"/>
      <c r="J330" s="142"/>
      <c r="K330" s="231"/>
      <c r="L330" s="279"/>
      <c r="M330" s="225"/>
      <c r="N330" s="186"/>
      <c r="O330" s="293"/>
      <c r="P330" s="323"/>
      <c r="Q330" s="329"/>
      <c r="R330" s="345"/>
      <c r="S330" s="338"/>
    </row>
    <row r="331" spans="1:19" ht="12.75">
      <c r="A331" s="17" t="s">
        <v>89</v>
      </c>
      <c r="B331" s="60"/>
      <c r="C331" s="79">
        <v>133249.9</v>
      </c>
      <c r="D331" s="186">
        <f>193.6</f>
        <v>193.6</v>
      </c>
      <c r="E331" s="157"/>
      <c r="F331" s="78">
        <f aca="true" t="shared" si="105" ref="F331:F340">C331+D331+E331</f>
        <v>133443.5</v>
      </c>
      <c r="G331" s="142">
        <f>300+74.77+500</f>
        <v>874.77</v>
      </c>
      <c r="H331" s="210"/>
      <c r="I331" s="124">
        <f>F331+G331+H331</f>
        <v>134318.27</v>
      </c>
      <c r="J331" s="142">
        <f>70+35+283.5+100+1500+667</f>
        <v>2655.5</v>
      </c>
      <c r="K331" s="231"/>
      <c r="L331" s="279">
        <f>I331+J331+K331</f>
        <v>136973.77</v>
      </c>
      <c r="M331" s="225">
        <f>131+130</f>
        <v>261</v>
      </c>
      <c r="N331" s="186"/>
      <c r="O331" s="293">
        <f>L331+M331+N331</f>
        <v>137234.77</v>
      </c>
      <c r="P331" s="323">
        <f>400</f>
        <v>400</v>
      </c>
      <c r="Q331" s="329">
        <f aca="true" t="shared" si="106" ref="Q331:Q340">O331+P331</f>
        <v>137634.77</v>
      </c>
      <c r="R331" s="345">
        <v>137634.77</v>
      </c>
      <c r="S331" s="338">
        <f t="shared" si="82"/>
        <v>100</v>
      </c>
    </row>
    <row r="332" spans="1:19" ht="12.75">
      <c r="A332" s="17" t="s">
        <v>62</v>
      </c>
      <c r="B332" s="60"/>
      <c r="C332" s="79">
        <v>17024.5</v>
      </c>
      <c r="D332" s="186">
        <f>-3978+130+365.87</f>
        <v>-3482.13</v>
      </c>
      <c r="E332" s="157"/>
      <c r="F332" s="78">
        <f t="shared" si="105"/>
        <v>13542.369999999999</v>
      </c>
      <c r="G332" s="142">
        <f>-735-300+100-90</f>
        <v>-1025</v>
      </c>
      <c r="H332" s="210"/>
      <c r="I332" s="124">
        <f aca="true" t="shared" si="107" ref="I332:I340">F332+G332+H332</f>
        <v>12517.369999999999</v>
      </c>
      <c r="J332" s="142">
        <f>-105+350</f>
        <v>245</v>
      </c>
      <c r="K332" s="231"/>
      <c r="L332" s="279">
        <f aca="true" t="shared" si="108" ref="L332:L340">I332+J332+K332</f>
        <v>12762.369999999999</v>
      </c>
      <c r="M332" s="225">
        <f>-9</f>
        <v>-9</v>
      </c>
      <c r="N332" s="186"/>
      <c r="O332" s="293">
        <f aca="true" t="shared" si="109" ref="O332:O340">L332+M332+N332</f>
        <v>12753.369999999999</v>
      </c>
      <c r="P332" s="323"/>
      <c r="Q332" s="329">
        <f t="shared" si="106"/>
        <v>12753.369999999999</v>
      </c>
      <c r="R332" s="345">
        <v>12742.97</v>
      </c>
      <c r="S332" s="338">
        <f t="shared" si="82"/>
        <v>99.91845292655981</v>
      </c>
    </row>
    <row r="333" spans="1:19" ht="12.75">
      <c r="A333" s="17" t="s">
        <v>157</v>
      </c>
      <c r="B333" s="60" t="s">
        <v>334</v>
      </c>
      <c r="C333" s="79">
        <v>3294</v>
      </c>
      <c r="D333" s="186"/>
      <c r="E333" s="157"/>
      <c r="F333" s="78">
        <f t="shared" si="105"/>
        <v>3294</v>
      </c>
      <c r="G333" s="142"/>
      <c r="H333" s="210"/>
      <c r="I333" s="124">
        <f t="shared" si="107"/>
        <v>3294</v>
      </c>
      <c r="J333" s="142"/>
      <c r="K333" s="231"/>
      <c r="L333" s="279">
        <f t="shared" si="108"/>
        <v>3294</v>
      </c>
      <c r="M333" s="225">
        <f>-77</f>
        <v>-77</v>
      </c>
      <c r="N333" s="186"/>
      <c r="O333" s="293">
        <f t="shared" si="109"/>
        <v>3217</v>
      </c>
      <c r="P333" s="323"/>
      <c r="Q333" s="329">
        <f t="shared" si="106"/>
        <v>3217</v>
      </c>
      <c r="R333" s="345">
        <v>3217</v>
      </c>
      <c r="S333" s="338">
        <f t="shared" si="82"/>
        <v>100</v>
      </c>
    </row>
    <row r="334" spans="1:19" ht="12.75">
      <c r="A334" s="17" t="s">
        <v>77</v>
      </c>
      <c r="B334" s="60"/>
      <c r="C334" s="79"/>
      <c r="D334" s="186">
        <f>3978</f>
        <v>3978</v>
      </c>
      <c r="E334" s="157"/>
      <c r="F334" s="78">
        <f t="shared" si="105"/>
        <v>3978</v>
      </c>
      <c r="G334" s="142">
        <f>735+90</f>
        <v>825</v>
      </c>
      <c r="H334" s="210"/>
      <c r="I334" s="124">
        <f t="shared" si="107"/>
        <v>4803</v>
      </c>
      <c r="J334" s="142"/>
      <c r="K334" s="231"/>
      <c r="L334" s="279">
        <f t="shared" si="108"/>
        <v>4803</v>
      </c>
      <c r="M334" s="225"/>
      <c r="N334" s="186"/>
      <c r="O334" s="293">
        <f t="shared" si="109"/>
        <v>4803</v>
      </c>
      <c r="P334" s="323"/>
      <c r="Q334" s="329">
        <f t="shared" si="106"/>
        <v>4803</v>
      </c>
      <c r="R334" s="345">
        <v>4803</v>
      </c>
      <c r="S334" s="338">
        <f t="shared" si="82"/>
        <v>100</v>
      </c>
    </row>
    <row r="335" spans="1:19" ht="12.75">
      <c r="A335" s="17" t="s">
        <v>112</v>
      </c>
      <c r="B335" s="60">
        <v>34070</v>
      </c>
      <c r="C335" s="79"/>
      <c r="D335" s="186"/>
      <c r="E335" s="157"/>
      <c r="F335" s="78">
        <f t="shared" si="105"/>
        <v>0</v>
      </c>
      <c r="G335" s="142">
        <f>450</f>
        <v>450</v>
      </c>
      <c r="H335" s="210"/>
      <c r="I335" s="124">
        <f t="shared" si="107"/>
        <v>450</v>
      </c>
      <c r="J335" s="142"/>
      <c r="K335" s="231"/>
      <c r="L335" s="279">
        <f t="shared" si="108"/>
        <v>450</v>
      </c>
      <c r="M335" s="225"/>
      <c r="N335" s="186"/>
      <c r="O335" s="293">
        <f t="shared" si="109"/>
        <v>450</v>
      </c>
      <c r="P335" s="323"/>
      <c r="Q335" s="329">
        <f t="shared" si="106"/>
        <v>450</v>
      </c>
      <c r="R335" s="345">
        <v>450</v>
      </c>
      <c r="S335" s="338">
        <f aca="true" t="shared" si="110" ref="S335:S398">R335/Q335*100</f>
        <v>100</v>
      </c>
    </row>
    <row r="336" spans="1:19" ht="12.75">
      <c r="A336" s="17" t="s">
        <v>361</v>
      </c>
      <c r="B336" s="60">
        <v>34019</v>
      </c>
      <c r="C336" s="79"/>
      <c r="D336" s="186"/>
      <c r="E336" s="157"/>
      <c r="F336" s="78">
        <f t="shared" si="105"/>
        <v>0</v>
      </c>
      <c r="G336" s="142">
        <v>39</v>
      </c>
      <c r="H336" s="210"/>
      <c r="I336" s="124">
        <f t="shared" si="107"/>
        <v>39</v>
      </c>
      <c r="J336" s="142"/>
      <c r="K336" s="231"/>
      <c r="L336" s="279">
        <f t="shared" si="108"/>
        <v>39</v>
      </c>
      <c r="M336" s="225"/>
      <c r="N336" s="186"/>
      <c r="O336" s="293">
        <f t="shared" si="109"/>
        <v>39</v>
      </c>
      <c r="P336" s="323"/>
      <c r="Q336" s="329">
        <f t="shared" si="106"/>
        <v>39</v>
      </c>
      <c r="R336" s="345">
        <v>39</v>
      </c>
      <c r="S336" s="338">
        <f t="shared" si="110"/>
        <v>100</v>
      </c>
    </row>
    <row r="337" spans="1:19" ht="12.75">
      <c r="A337" s="17" t="s">
        <v>373</v>
      </c>
      <c r="B337" s="60">
        <v>34017</v>
      </c>
      <c r="C337" s="79"/>
      <c r="D337" s="186"/>
      <c r="E337" s="157"/>
      <c r="F337" s="78"/>
      <c r="G337" s="142">
        <f>240</f>
        <v>240</v>
      </c>
      <c r="H337" s="210"/>
      <c r="I337" s="124">
        <f t="shared" si="107"/>
        <v>240</v>
      </c>
      <c r="J337" s="142">
        <f>-90</f>
        <v>-90</v>
      </c>
      <c r="K337" s="231"/>
      <c r="L337" s="279">
        <f t="shared" si="108"/>
        <v>150</v>
      </c>
      <c r="M337" s="225"/>
      <c r="N337" s="186"/>
      <c r="O337" s="293">
        <f t="shared" si="109"/>
        <v>150</v>
      </c>
      <c r="P337" s="323"/>
      <c r="Q337" s="329">
        <f t="shared" si="106"/>
        <v>150</v>
      </c>
      <c r="R337" s="345">
        <v>150</v>
      </c>
      <c r="S337" s="338">
        <f t="shared" si="110"/>
        <v>100</v>
      </c>
    </row>
    <row r="338" spans="1:19" ht="12.75">
      <c r="A338" s="17" t="s">
        <v>113</v>
      </c>
      <c r="B338" s="60">
        <v>34053</v>
      </c>
      <c r="C338" s="79"/>
      <c r="D338" s="186"/>
      <c r="E338" s="157"/>
      <c r="F338" s="78">
        <f t="shared" si="105"/>
        <v>0</v>
      </c>
      <c r="G338" s="142">
        <f>254</f>
        <v>254</v>
      </c>
      <c r="H338" s="210"/>
      <c r="I338" s="124">
        <f t="shared" si="107"/>
        <v>254</v>
      </c>
      <c r="J338" s="142"/>
      <c r="K338" s="231"/>
      <c r="L338" s="279">
        <f>I338+J338+K338</f>
        <v>254</v>
      </c>
      <c r="M338" s="225"/>
      <c r="N338" s="186"/>
      <c r="O338" s="293">
        <f t="shared" si="109"/>
        <v>254</v>
      </c>
      <c r="P338" s="323"/>
      <c r="Q338" s="329">
        <f t="shared" si="106"/>
        <v>254</v>
      </c>
      <c r="R338" s="345">
        <v>254</v>
      </c>
      <c r="S338" s="338">
        <f t="shared" si="110"/>
        <v>100</v>
      </c>
    </row>
    <row r="339" spans="1:19" ht="12.75">
      <c r="A339" s="17" t="s">
        <v>363</v>
      </c>
      <c r="B339" s="60">
        <v>34013</v>
      </c>
      <c r="C339" s="79"/>
      <c r="D339" s="186"/>
      <c r="E339" s="157"/>
      <c r="F339" s="78"/>
      <c r="G339" s="142"/>
      <c r="H339" s="210"/>
      <c r="I339" s="124">
        <f t="shared" si="107"/>
        <v>0</v>
      </c>
      <c r="J339" s="142">
        <f>61+150</f>
        <v>211</v>
      </c>
      <c r="K339" s="231"/>
      <c r="L339" s="279">
        <f>I339+J339+K339</f>
        <v>211</v>
      </c>
      <c r="M339" s="225"/>
      <c r="N339" s="186"/>
      <c r="O339" s="293">
        <f>L339+M339+N339</f>
        <v>211</v>
      </c>
      <c r="P339" s="323"/>
      <c r="Q339" s="329">
        <f t="shared" si="106"/>
        <v>211</v>
      </c>
      <c r="R339" s="345">
        <v>211</v>
      </c>
      <c r="S339" s="338">
        <f t="shared" si="110"/>
        <v>100</v>
      </c>
    </row>
    <row r="340" spans="1:19" ht="12.75" hidden="1">
      <c r="A340" s="17" t="s">
        <v>93</v>
      </c>
      <c r="B340" s="60"/>
      <c r="C340" s="79"/>
      <c r="D340" s="186"/>
      <c r="E340" s="157"/>
      <c r="F340" s="78">
        <f t="shared" si="105"/>
        <v>0</v>
      </c>
      <c r="G340" s="142"/>
      <c r="H340" s="210"/>
      <c r="I340" s="124">
        <f t="shared" si="107"/>
        <v>0</v>
      </c>
      <c r="J340" s="142"/>
      <c r="K340" s="231"/>
      <c r="L340" s="279">
        <f t="shared" si="108"/>
        <v>0</v>
      </c>
      <c r="M340" s="225"/>
      <c r="N340" s="186"/>
      <c r="O340" s="293">
        <f t="shared" si="109"/>
        <v>0</v>
      </c>
      <c r="P340" s="323"/>
      <c r="Q340" s="329">
        <f t="shared" si="106"/>
        <v>0</v>
      </c>
      <c r="R340" s="345"/>
      <c r="S340" s="338" t="e">
        <f t="shared" si="110"/>
        <v>#DIV/0!</v>
      </c>
    </row>
    <row r="341" spans="1:19" ht="12.75">
      <c r="A341" s="19" t="s">
        <v>65</v>
      </c>
      <c r="B341" s="64"/>
      <c r="C341" s="84">
        <f>SUM(C343:C347)</f>
        <v>0</v>
      </c>
      <c r="D341" s="191">
        <f>SUM(D343:D347)</f>
        <v>0</v>
      </c>
      <c r="E341" s="160"/>
      <c r="F341" s="85">
        <f>SUM(F343:F347)</f>
        <v>0</v>
      </c>
      <c r="G341" s="146"/>
      <c r="H341" s="214"/>
      <c r="I341" s="127">
        <f>SUM(I343:I347)</f>
        <v>0</v>
      </c>
      <c r="J341" s="84">
        <f>SUM(J343:J347)</f>
        <v>1313</v>
      </c>
      <c r="K341" s="235"/>
      <c r="L341" s="282">
        <f aca="true" t="shared" si="111" ref="L341:R341">SUM(L343:L347)</f>
        <v>1313</v>
      </c>
      <c r="M341" s="235">
        <f t="shared" si="111"/>
        <v>0</v>
      </c>
      <c r="N341" s="214">
        <f t="shared" si="111"/>
        <v>0</v>
      </c>
      <c r="O341" s="244">
        <f t="shared" si="111"/>
        <v>1313</v>
      </c>
      <c r="P341" s="84">
        <f t="shared" si="111"/>
        <v>0</v>
      </c>
      <c r="Q341" s="85">
        <f t="shared" si="111"/>
        <v>1313</v>
      </c>
      <c r="R341" s="349">
        <f t="shared" si="111"/>
        <v>1313</v>
      </c>
      <c r="S341" s="344">
        <f t="shared" si="110"/>
        <v>100</v>
      </c>
    </row>
    <row r="342" spans="1:19" ht="12.75">
      <c r="A342" s="15" t="s">
        <v>31</v>
      </c>
      <c r="B342" s="60"/>
      <c r="C342" s="79"/>
      <c r="D342" s="186"/>
      <c r="E342" s="157"/>
      <c r="F342" s="78"/>
      <c r="G342" s="142"/>
      <c r="H342" s="210"/>
      <c r="I342" s="124"/>
      <c r="J342" s="142"/>
      <c r="K342" s="231"/>
      <c r="L342" s="279"/>
      <c r="M342" s="225"/>
      <c r="N342" s="186"/>
      <c r="O342" s="293"/>
      <c r="P342" s="323"/>
      <c r="Q342" s="329"/>
      <c r="R342" s="345"/>
      <c r="S342" s="338"/>
    </row>
    <row r="343" spans="1:19" ht="12.75" hidden="1">
      <c r="A343" s="17" t="s">
        <v>113</v>
      </c>
      <c r="B343" s="60">
        <v>34544</v>
      </c>
      <c r="C343" s="79"/>
      <c r="D343" s="186"/>
      <c r="E343" s="157"/>
      <c r="F343" s="78">
        <f>C343+D343+E343</f>
        <v>0</v>
      </c>
      <c r="G343" s="142"/>
      <c r="H343" s="210"/>
      <c r="I343" s="124">
        <f>F343+G343+H343</f>
        <v>0</v>
      </c>
      <c r="J343" s="142"/>
      <c r="K343" s="231"/>
      <c r="L343" s="279">
        <f>I343+J343+K343</f>
        <v>0</v>
      </c>
      <c r="M343" s="225"/>
      <c r="N343" s="186"/>
      <c r="O343" s="293">
        <f>L343+M343+N343</f>
        <v>0</v>
      </c>
      <c r="P343" s="323"/>
      <c r="Q343" s="329">
        <f>O343+P343</f>
        <v>0</v>
      </c>
      <c r="R343" s="345"/>
      <c r="S343" s="338" t="e">
        <f t="shared" si="110"/>
        <v>#DIV/0!</v>
      </c>
    </row>
    <row r="344" spans="1:19" ht="12.75">
      <c r="A344" s="271" t="s">
        <v>106</v>
      </c>
      <c r="B344" s="63"/>
      <c r="C344" s="86"/>
      <c r="D344" s="193"/>
      <c r="E344" s="161"/>
      <c r="F344" s="112"/>
      <c r="G344" s="136"/>
      <c r="H344" s="215"/>
      <c r="I344" s="129">
        <f>F344+G344+H344</f>
        <v>0</v>
      </c>
      <c r="J344" s="136">
        <f>1100+213</f>
        <v>1313</v>
      </c>
      <c r="K344" s="233"/>
      <c r="L344" s="315">
        <f>I344+J344+K344</f>
        <v>1313</v>
      </c>
      <c r="M344" s="274"/>
      <c r="N344" s="193"/>
      <c r="O344" s="295">
        <f>L344+M344+N344</f>
        <v>1313</v>
      </c>
      <c r="P344" s="326"/>
      <c r="Q344" s="330">
        <f>O344+P344</f>
        <v>1313</v>
      </c>
      <c r="R344" s="351">
        <v>1313</v>
      </c>
      <c r="S344" s="340">
        <f t="shared" si="110"/>
        <v>100</v>
      </c>
    </row>
    <row r="345" spans="1:19" ht="12.75" hidden="1">
      <c r="A345" s="45" t="s">
        <v>81</v>
      </c>
      <c r="B345" s="60"/>
      <c r="C345" s="79"/>
      <c r="D345" s="186"/>
      <c r="E345" s="157"/>
      <c r="F345" s="78">
        <f>C345+D345+E345</f>
        <v>0</v>
      </c>
      <c r="G345" s="142"/>
      <c r="H345" s="210"/>
      <c r="I345" s="124">
        <f>F345+G345+H345</f>
        <v>0</v>
      </c>
      <c r="J345" s="142"/>
      <c r="K345" s="231"/>
      <c r="L345" s="279">
        <f>I345+J345+K345</f>
        <v>0</v>
      </c>
      <c r="M345" s="225"/>
      <c r="N345" s="186"/>
      <c r="O345" s="293">
        <f>L345+M345+N345</f>
        <v>0</v>
      </c>
      <c r="P345" s="323"/>
      <c r="Q345" s="329">
        <f>O345+P345</f>
        <v>0</v>
      </c>
      <c r="R345" s="345"/>
      <c r="S345" s="338" t="e">
        <f t="shared" si="110"/>
        <v>#DIV/0!</v>
      </c>
    </row>
    <row r="346" spans="1:19" ht="12.75" hidden="1">
      <c r="A346" s="45" t="s">
        <v>66</v>
      </c>
      <c r="B346" s="60"/>
      <c r="C346" s="79"/>
      <c r="D346" s="186"/>
      <c r="E346" s="157"/>
      <c r="F346" s="78">
        <f>C346+D346+E346</f>
        <v>0</v>
      </c>
      <c r="G346" s="142"/>
      <c r="H346" s="210"/>
      <c r="I346" s="124">
        <f>F346+G346+H346</f>
        <v>0</v>
      </c>
      <c r="J346" s="142"/>
      <c r="K346" s="231"/>
      <c r="L346" s="279">
        <f>I346+J346+K346</f>
        <v>0</v>
      </c>
      <c r="M346" s="225"/>
      <c r="N346" s="186"/>
      <c r="O346" s="293">
        <f>L346+M346+N346</f>
        <v>0</v>
      </c>
      <c r="P346" s="323"/>
      <c r="Q346" s="329">
        <f>O346+P346</f>
        <v>0</v>
      </c>
      <c r="R346" s="345"/>
      <c r="S346" s="338" t="e">
        <f t="shared" si="110"/>
        <v>#DIV/0!</v>
      </c>
    </row>
    <row r="347" spans="1:19" ht="13.5" hidden="1" thickBot="1">
      <c r="A347" s="118" t="s">
        <v>93</v>
      </c>
      <c r="B347" s="115"/>
      <c r="C347" s="116"/>
      <c r="D347" s="194"/>
      <c r="E347" s="163"/>
      <c r="F347" s="117">
        <f>C347+D347+E347</f>
        <v>0</v>
      </c>
      <c r="G347" s="136"/>
      <c r="H347" s="215"/>
      <c r="I347" s="129">
        <f>F347+G347+H347</f>
        <v>0</v>
      </c>
      <c r="J347" s="136"/>
      <c r="K347" s="233"/>
      <c r="L347" s="315">
        <f>I347+J347+K347</f>
        <v>0</v>
      </c>
      <c r="M347" s="322"/>
      <c r="N347" s="193"/>
      <c r="O347" s="295">
        <f>L347+M347+N347</f>
        <v>0</v>
      </c>
      <c r="P347" s="326"/>
      <c r="Q347" s="330">
        <f>O347+P347</f>
        <v>0</v>
      </c>
      <c r="R347" s="345"/>
      <c r="S347" s="338" t="e">
        <f t="shared" si="110"/>
        <v>#DIV/0!</v>
      </c>
    </row>
    <row r="348" spans="1:19" ht="12.75">
      <c r="A348" s="25" t="s">
        <v>217</v>
      </c>
      <c r="B348" s="65"/>
      <c r="C348" s="75">
        <f aca="true" t="shared" si="112" ref="C348:O348">C349+C374</f>
        <v>565832.6</v>
      </c>
      <c r="D348" s="185">
        <f t="shared" si="112"/>
        <v>670992.66</v>
      </c>
      <c r="E348" s="156">
        <f t="shared" si="112"/>
        <v>-2350.0000000000005</v>
      </c>
      <c r="F348" s="77">
        <f t="shared" si="112"/>
        <v>1234475.2599999998</v>
      </c>
      <c r="G348" s="75">
        <f t="shared" si="112"/>
        <v>428731.57999999996</v>
      </c>
      <c r="H348" s="185">
        <f t="shared" si="112"/>
        <v>0</v>
      </c>
      <c r="I348" s="77">
        <f t="shared" si="112"/>
        <v>1663206.8399999996</v>
      </c>
      <c r="J348" s="141">
        <f t="shared" si="112"/>
        <v>119501.54999999999</v>
      </c>
      <c r="K348" s="230">
        <f t="shared" si="112"/>
        <v>0</v>
      </c>
      <c r="L348" s="217">
        <f t="shared" si="112"/>
        <v>1782708.39</v>
      </c>
      <c r="M348" s="230">
        <f t="shared" si="112"/>
        <v>101582.31000000001</v>
      </c>
      <c r="N348" s="209">
        <f t="shared" si="112"/>
        <v>0</v>
      </c>
      <c r="O348" s="228">
        <f t="shared" si="112"/>
        <v>1884290.7</v>
      </c>
      <c r="P348" s="75">
        <f>P349+P374</f>
        <v>23849.250000000004</v>
      </c>
      <c r="Q348" s="77">
        <f>Q349+Q374</f>
        <v>1911459.95</v>
      </c>
      <c r="R348" s="346">
        <f>R349+R374</f>
        <v>654714.4900000001</v>
      </c>
      <c r="S348" s="337">
        <f t="shared" si="110"/>
        <v>34.25206424021597</v>
      </c>
    </row>
    <row r="349" spans="1:19" ht="12.75">
      <c r="A349" s="19" t="s">
        <v>59</v>
      </c>
      <c r="B349" s="64"/>
      <c r="C349" s="84">
        <f aca="true" t="shared" si="113" ref="C349:O349">SUM(C351:C362)</f>
        <v>53688</v>
      </c>
      <c r="D349" s="191">
        <f t="shared" si="113"/>
        <v>47027.009999999995</v>
      </c>
      <c r="E349" s="160">
        <f t="shared" si="113"/>
        <v>2684.77</v>
      </c>
      <c r="F349" s="85">
        <f t="shared" si="113"/>
        <v>103399.78</v>
      </c>
      <c r="G349" s="84">
        <f t="shared" si="113"/>
        <v>4888.619999999999</v>
      </c>
      <c r="H349" s="191">
        <f t="shared" si="113"/>
        <v>0</v>
      </c>
      <c r="I349" s="85">
        <f t="shared" si="113"/>
        <v>108288.39999999998</v>
      </c>
      <c r="J349" s="146">
        <f t="shared" si="113"/>
        <v>13944.650000000001</v>
      </c>
      <c r="K349" s="235">
        <f t="shared" si="113"/>
        <v>-2876.59</v>
      </c>
      <c r="L349" s="282">
        <f t="shared" si="113"/>
        <v>119356.45999999999</v>
      </c>
      <c r="M349" s="235">
        <f t="shared" si="113"/>
        <v>38344.240000000005</v>
      </c>
      <c r="N349" s="214">
        <f t="shared" si="113"/>
        <v>0</v>
      </c>
      <c r="O349" s="244">
        <f t="shared" si="113"/>
        <v>157700.7</v>
      </c>
      <c r="P349" s="84">
        <f>SUM(P351:P362)</f>
        <v>0</v>
      </c>
      <c r="Q349" s="85">
        <f>SUM(Q351:Q362)</f>
        <v>157700.7</v>
      </c>
      <c r="R349" s="349">
        <f>SUM(R351:R362)</f>
        <v>69625.9</v>
      </c>
      <c r="S349" s="344">
        <f t="shared" si="110"/>
        <v>44.15066007950503</v>
      </c>
    </row>
    <row r="350" spans="1:19" ht="12.75">
      <c r="A350" s="15" t="s">
        <v>31</v>
      </c>
      <c r="B350" s="60"/>
      <c r="C350" s="84"/>
      <c r="D350" s="195"/>
      <c r="E350" s="164"/>
      <c r="F350" s="85"/>
      <c r="G350" s="142"/>
      <c r="H350" s="210"/>
      <c r="I350" s="124"/>
      <c r="J350" s="142"/>
      <c r="K350" s="231"/>
      <c r="L350" s="279"/>
      <c r="M350" s="320"/>
      <c r="N350" s="186"/>
      <c r="O350" s="293"/>
      <c r="P350" s="323"/>
      <c r="Q350" s="329"/>
      <c r="R350" s="345"/>
      <c r="S350" s="338"/>
    </row>
    <row r="351" spans="1:19" ht="12.75">
      <c r="A351" s="17" t="s">
        <v>62</v>
      </c>
      <c r="B351" s="60"/>
      <c r="C351" s="79">
        <v>582</v>
      </c>
      <c r="D351" s="187">
        <f>2043.76</f>
        <v>2043.76</v>
      </c>
      <c r="E351" s="165"/>
      <c r="F351" s="78">
        <f aca="true" t="shared" si="114" ref="F351:F373">C351+D351+E351</f>
        <v>2625.76</v>
      </c>
      <c r="G351" s="142"/>
      <c r="H351" s="210"/>
      <c r="I351" s="124">
        <f aca="true" t="shared" si="115" ref="I351:I373">F351+G351+H351</f>
        <v>2625.76</v>
      </c>
      <c r="J351" s="142">
        <f>-2043.76+528.53</f>
        <v>-1515.23</v>
      </c>
      <c r="K351" s="231"/>
      <c r="L351" s="279">
        <f>I351+J351+K351</f>
        <v>1110.5300000000002</v>
      </c>
      <c r="M351" s="320">
        <f>-20</f>
        <v>-20</v>
      </c>
      <c r="N351" s="186"/>
      <c r="O351" s="293">
        <f>L351+M351+N351</f>
        <v>1090.5300000000002</v>
      </c>
      <c r="P351" s="323"/>
      <c r="Q351" s="329">
        <f aca="true" t="shared" si="116" ref="Q351:Q372">O351+P351</f>
        <v>1090.5300000000002</v>
      </c>
      <c r="R351" s="345">
        <v>770.58</v>
      </c>
      <c r="S351" s="338">
        <f t="shared" si="110"/>
        <v>70.66105471651399</v>
      </c>
    </row>
    <row r="352" spans="1:19" ht="12.75">
      <c r="A352" s="17" t="s">
        <v>228</v>
      </c>
      <c r="B352" s="60" t="s">
        <v>336</v>
      </c>
      <c r="C352" s="79"/>
      <c r="D352" s="187">
        <f>2054.81+850</f>
        <v>2904.81</v>
      </c>
      <c r="E352" s="165"/>
      <c r="F352" s="78">
        <f t="shared" si="114"/>
        <v>2904.81</v>
      </c>
      <c r="G352" s="142"/>
      <c r="H352" s="210"/>
      <c r="I352" s="124">
        <f t="shared" si="115"/>
        <v>2904.81</v>
      </c>
      <c r="J352" s="142"/>
      <c r="K352" s="231"/>
      <c r="L352" s="279">
        <f aca="true" t="shared" si="117" ref="L352:L372">I352+J352+K352</f>
        <v>2904.81</v>
      </c>
      <c r="M352" s="320"/>
      <c r="N352" s="186"/>
      <c r="O352" s="293">
        <f aca="true" t="shared" si="118" ref="O352:O372">L352+M352+N352</f>
        <v>2904.81</v>
      </c>
      <c r="P352" s="323"/>
      <c r="Q352" s="329">
        <f t="shared" si="116"/>
        <v>2904.81</v>
      </c>
      <c r="R352" s="345">
        <v>183.66</v>
      </c>
      <c r="S352" s="338">
        <f t="shared" si="110"/>
        <v>6.322616625528004</v>
      </c>
    </row>
    <row r="353" spans="1:19" ht="12.75">
      <c r="A353" s="17" t="s">
        <v>229</v>
      </c>
      <c r="B353" s="122" t="s">
        <v>337</v>
      </c>
      <c r="C353" s="79">
        <v>3361</v>
      </c>
      <c r="D353" s="187">
        <f>1114.3</f>
        <v>1114.3</v>
      </c>
      <c r="E353" s="165"/>
      <c r="F353" s="78">
        <f t="shared" si="114"/>
        <v>4475.3</v>
      </c>
      <c r="G353" s="142"/>
      <c r="H353" s="210"/>
      <c r="I353" s="124">
        <f t="shared" si="115"/>
        <v>4475.3</v>
      </c>
      <c r="J353" s="142"/>
      <c r="K353" s="231"/>
      <c r="L353" s="279">
        <f t="shared" si="117"/>
        <v>4475.3</v>
      </c>
      <c r="M353" s="320">
        <f>1533.04</f>
        <v>1533.04</v>
      </c>
      <c r="N353" s="186"/>
      <c r="O353" s="293">
        <f t="shared" si="118"/>
        <v>6008.34</v>
      </c>
      <c r="P353" s="323"/>
      <c r="Q353" s="329">
        <f t="shared" si="116"/>
        <v>6008.34</v>
      </c>
      <c r="R353" s="345">
        <v>3360.9</v>
      </c>
      <c r="S353" s="338">
        <f t="shared" si="110"/>
        <v>55.93724722635537</v>
      </c>
    </row>
    <row r="354" spans="1:19" ht="12.75">
      <c r="A354" s="61" t="s">
        <v>96</v>
      </c>
      <c r="B354" s="60"/>
      <c r="C354" s="79">
        <v>850</v>
      </c>
      <c r="D354" s="187"/>
      <c r="E354" s="165"/>
      <c r="F354" s="78">
        <f t="shared" si="114"/>
        <v>850</v>
      </c>
      <c r="G354" s="142"/>
      <c r="H354" s="210"/>
      <c r="I354" s="124">
        <f t="shared" si="115"/>
        <v>850</v>
      </c>
      <c r="J354" s="142"/>
      <c r="K354" s="231"/>
      <c r="L354" s="279">
        <f t="shared" si="117"/>
        <v>850</v>
      </c>
      <c r="M354" s="320"/>
      <c r="N354" s="186"/>
      <c r="O354" s="293">
        <f t="shared" si="118"/>
        <v>850</v>
      </c>
      <c r="P354" s="323"/>
      <c r="Q354" s="329">
        <f t="shared" si="116"/>
        <v>850</v>
      </c>
      <c r="R354" s="345">
        <v>850</v>
      </c>
      <c r="S354" s="338">
        <f t="shared" si="110"/>
        <v>100</v>
      </c>
    </row>
    <row r="355" spans="1:19" ht="12.75">
      <c r="A355" s="13" t="s">
        <v>246</v>
      </c>
      <c r="B355" s="60"/>
      <c r="C355" s="79">
        <v>6300</v>
      </c>
      <c r="D355" s="187"/>
      <c r="E355" s="165"/>
      <c r="F355" s="78">
        <f t="shared" si="114"/>
        <v>6300</v>
      </c>
      <c r="G355" s="142">
        <f>9.33-100</f>
        <v>-90.67</v>
      </c>
      <c r="H355" s="210"/>
      <c r="I355" s="124">
        <f t="shared" si="115"/>
        <v>6209.33</v>
      </c>
      <c r="J355" s="142"/>
      <c r="K355" s="231"/>
      <c r="L355" s="279">
        <f t="shared" si="117"/>
        <v>6209.33</v>
      </c>
      <c r="M355" s="320"/>
      <c r="N355" s="186"/>
      <c r="O355" s="293">
        <f t="shared" si="118"/>
        <v>6209.33</v>
      </c>
      <c r="P355" s="323"/>
      <c r="Q355" s="329">
        <f t="shared" si="116"/>
        <v>6209.33</v>
      </c>
      <c r="R355" s="345">
        <v>6209.33</v>
      </c>
      <c r="S355" s="338">
        <f t="shared" si="110"/>
        <v>100</v>
      </c>
    </row>
    <row r="356" spans="1:19" ht="12.75">
      <c r="A356" s="17" t="s">
        <v>247</v>
      </c>
      <c r="B356" s="60"/>
      <c r="C356" s="79">
        <v>3500</v>
      </c>
      <c r="D356" s="187"/>
      <c r="E356" s="165"/>
      <c r="F356" s="78">
        <f t="shared" si="114"/>
        <v>3500</v>
      </c>
      <c r="G356" s="142"/>
      <c r="H356" s="210"/>
      <c r="I356" s="124">
        <f t="shared" si="115"/>
        <v>3500</v>
      </c>
      <c r="J356" s="142"/>
      <c r="K356" s="231"/>
      <c r="L356" s="279">
        <f t="shared" si="117"/>
        <v>3500</v>
      </c>
      <c r="M356" s="320"/>
      <c r="N356" s="186"/>
      <c r="O356" s="293">
        <f t="shared" si="118"/>
        <v>3500</v>
      </c>
      <c r="P356" s="323"/>
      <c r="Q356" s="329">
        <f t="shared" si="116"/>
        <v>3500</v>
      </c>
      <c r="R356" s="345">
        <v>3500</v>
      </c>
      <c r="S356" s="338">
        <f t="shared" si="110"/>
        <v>100</v>
      </c>
    </row>
    <row r="357" spans="1:19" ht="12.75">
      <c r="A357" s="17" t="s">
        <v>411</v>
      </c>
      <c r="B357" s="60">
        <v>3000</v>
      </c>
      <c r="C357" s="79"/>
      <c r="D357" s="187">
        <f>150.49</f>
        <v>150.49</v>
      </c>
      <c r="E357" s="165"/>
      <c r="F357" s="78">
        <f t="shared" si="114"/>
        <v>150.49</v>
      </c>
      <c r="G357" s="142"/>
      <c r="H357" s="210"/>
      <c r="I357" s="124">
        <f t="shared" si="115"/>
        <v>150.49</v>
      </c>
      <c r="J357" s="142"/>
      <c r="K357" s="231"/>
      <c r="L357" s="279">
        <f t="shared" si="117"/>
        <v>150.49</v>
      </c>
      <c r="M357" s="320"/>
      <c r="N357" s="186"/>
      <c r="O357" s="293">
        <f t="shared" si="118"/>
        <v>150.49</v>
      </c>
      <c r="P357" s="323"/>
      <c r="Q357" s="329">
        <f t="shared" si="116"/>
        <v>150.49</v>
      </c>
      <c r="R357" s="345">
        <v>150.49</v>
      </c>
      <c r="S357" s="338">
        <f t="shared" si="110"/>
        <v>100</v>
      </c>
    </row>
    <row r="358" spans="1:19" ht="12.75">
      <c r="A358" s="13" t="s">
        <v>369</v>
      </c>
      <c r="B358" s="60">
        <v>22003</v>
      </c>
      <c r="C358" s="79"/>
      <c r="D358" s="187"/>
      <c r="E358" s="165"/>
      <c r="F358" s="78">
        <f t="shared" si="114"/>
        <v>0</v>
      </c>
      <c r="G358" s="142"/>
      <c r="H358" s="210"/>
      <c r="I358" s="124">
        <f t="shared" si="115"/>
        <v>0</v>
      </c>
      <c r="J358" s="142">
        <f>179+721.5</f>
        <v>900.5</v>
      </c>
      <c r="K358" s="231"/>
      <c r="L358" s="279">
        <f t="shared" si="117"/>
        <v>900.5</v>
      </c>
      <c r="M358" s="320"/>
      <c r="N358" s="186"/>
      <c r="O358" s="293">
        <f t="shared" si="118"/>
        <v>900.5</v>
      </c>
      <c r="P358" s="323"/>
      <c r="Q358" s="329">
        <f t="shared" si="116"/>
        <v>900.5</v>
      </c>
      <c r="R358" s="345">
        <v>900.5</v>
      </c>
      <c r="S358" s="338">
        <f t="shared" si="110"/>
        <v>100</v>
      </c>
    </row>
    <row r="359" spans="1:19" ht="12.75">
      <c r="A359" s="17" t="s">
        <v>370</v>
      </c>
      <c r="B359" s="60"/>
      <c r="C359" s="79"/>
      <c r="D359" s="187"/>
      <c r="E359" s="165"/>
      <c r="F359" s="78"/>
      <c r="G359" s="142"/>
      <c r="H359" s="210"/>
      <c r="I359" s="124">
        <f t="shared" si="115"/>
        <v>0</v>
      </c>
      <c r="J359" s="142">
        <f>500</f>
        <v>500</v>
      </c>
      <c r="K359" s="231"/>
      <c r="L359" s="279">
        <f t="shared" si="117"/>
        <v>500</v>
      </c>
      <c r="M359" s="320"/>
      <c r="N359" s="186"/>
      <c r="O359" s="293">
        <f t="shared" si="118"/>
        <v>500</v>
      </c>
      <c r="P359" s="323"/>
      <c r="Q359" s="329">
        <f t="shared" si="116"/>
        <v>500</v>
      </c>
      <c r="R359" s="345">
        <v>17.3</v>
      </c>
      <c r="S359" s="338">
        <f t="shared" si="110"/>
        <v>3.46</v>
      </c>
    </row>
    <row r="360" spans="1:19" ht="12.75">
      <c r="A360" s="13" t="s">
        <v>341</v>
      </c>
      <c r="B360" s="60" t="s">
        <v>335</v>
      </c>
      <c r="C360" s="79"/>
      <c r="D360" s="187">
        <f>2232.07</f>
        <v>2232.07</v>
      </c>
      <c r="E360" s="165"/>
      <c r="F360" s="78">
        <f t="shared" si="114"/>
        <v>2232.07</v>
      </c>
      <c r="G360" s="142"/>
      <c r="H360" s="210"/>
      <c r="I360" s="124">
        <f t="shared" si="115"/>
        <v>2232.07</v>
      </c>
      <c r="J360" s="142"/>
      <c r="K360" s="231"/>
      <c r="L360" s="279">
        <f t="shared" si="117"/>
        <v>2232.07</v>
      </c>
      <c r="M360" s="320"/>
      <c r="N360" s="186"/>
      <c r="O360" s="293">
        <f t="shared" si="118"/>
        <v>2232.07</v>
      </c>
      <c r="P360" s="323"/>
      <c r="Q360" s="329">
        <f t="shared" si="116"/>
        <v>2232.07</v>
      </c>
      <c r="R360" s="345">
        <v>66.25</v>
      </c>
      <c r="S360" s="338">
        <f t="shared" si="110"/>
        <v>2.96809687868212</v>
      </c>
    </row>
    <row r="361" spans="1:19" ht="12.75">
      <c r="A361" s="17" t="s">
        <v>221</v>
      </c>
      <c r="B361" s="60" t="s">
        <v>244</v>
      </c>
      <c r="C361" s="79"/>
      <c r="D361" s="187">
        <f>658.97</f>
        <v>658.97</v>
      </c>
      <c r="E361" s="165"/>
      <c r="F361" s="78">
        <f t="shared" si="114"/>
        <v>658.97</v>
      </c>
      <c r="G361" s="142"/>
      <c r="H361" s="210"/>
      <c r="I361" s="124">
        <f t="shared" si="115"/>
        <v>658.97</v>
      </c>
      <c r="J361" s="142"/>
      <c r="K361" s="231"/>
      <c r="L361" s="279">
        <f t="shared" si="117"/>
        <v>658.97</v>
      </c>
      <c r="M361" s="320"/>
      <c r="N361" s="186"/>
      <c r="O361" s="293">
        <f t="shared" si="118"/>
        <v>658.97</v>
      </c>
      <c r="P361" s="323"/>
      <c r="Q361" s="329">
        <f t="shared" si="116"/>
        <v>658.97</v>
      </c>
      <c r="R361" s="345"/>
      <c r="S361" s="361" t="s">
        <v>400</v>
      </c>
    </row>
    <row r="362" spans="1:19" ht="12.75">
      <c r="A362" s="13" t="s">
        <v>93</v>
      </c>
      <c r="B362" s="60"/>
      <c r="C362" s="89">
        <f aca="true" t="shared" si="119" ref="C362:R362">SUM(C363:C373)</f>
        <v>39095</v>
      </c>
      <c r="D362" s="187">
        <f t="shared" si="119"/>
        <v>37922.60999999999</v>
      </c>
      <c r="E362" s="138">
        <f t="shared" si="119"/>
        <v>2684.77</v>
      </c>
      <c r="F362" s="137">
        <f t="shared" si="119"/>
        <v>79702.37999999999</v>
      </c>
      <c r="G362" s="89">
        <f t="shared" si="119"/>
        <v>4979.289999999999</v>
      </c>
      <c r="H362" s="187">
        <f t="shared" si="119"/>
        <v>0</v>
      </c>
      <c r="I362" s="137">
        <f t="shared" si="119"/>
        <v>84681.66999999998</v>
      </c>
      <c r="J362" s="262">
        <f t="shared" si="119"/>
        <v>14059.380000000001</v>
      </c>
      <c r="K362" s="234">
        <f t="shared" si="119"/>
        <v>-2876.59</v>
      </c>
      <c r="L362" s="284">
        <f t="shared" si="119"/>
        <v>95864.45999999999</v>
      </c>
      <c r="M362" s="234">
        <f t="shared" si="119"/>
        <v>36831.200000000004</v>
      </c>
      <c r="N362" s="304">
        <f t="shared" si="119"/>
        <v>0</v>
      </c>
      <c r="O362" s="246">
        <f t="shared" si="119"/>
        <v>132695.66</v>
      </c>
      <c r="P362" s="89">
        <f t="shared" si="119"/>
        <v>0</v>
      </c>
      <c r="Q362" s="137">
        <f t="shared" si="119"/>
        <v>132695.66</v>
      </c>
      <c r="R362" s="352">
        <f t="shared" si="119"/>
        <v>53616.89</v>
      </c>
      <c r="S362" s="338">
        <f t="shared" si="110"/>
        <v>40.40591078864222</v>
      </c>
    </row>
    <row r="363" spans="1:19" ht="12.75">
      <c r="A363" s="13" t="s">
        <v>331</v>
      </c>
      <c r="B363" s="60"/>
      <c r="C363" s="89">
        <v>36300</v>
      </c>
      <c r="D363" s="187">
        <f>11127.4+1000+11476.88</f>
        <v>23604.28</v>
      </c>
      <c r="E363" s="157"/>
      <c r="F363" s="78">
        <f t="shared" si="114"/>
        <v>59904.28</v>
      </c>
      <c r="G363" s="142">
        <f>2204.89</f>
        <v>2204.89</v>
      </c>
      <c r="H363" s="210"/>
      <c r="I363" s="124">
        <f t="shared" si="115"/>
        <v>62109.17</v>
      </c>
      <c r="J363" s="142"/>
      <c r="K363" s="231"/>
      <c r="L363" s="279">
        <f t="shared" si="117"/>
        <v>62109.17</v>
      </c>
      <c r="M363" s="320"/>
      <c r="N363" s="186"/>
      <c r="O363" s="293">
        <f t="shared" si="118"/>
        <v>62109.17</v>
      </c>
      <c r="P363" s="323"/>
      <c r="Q363" s="329">
        <f t="shared" si="116"/>
        <v>62109.17</v>
      </c>
      <c r="R363" s="345">
        <v>37219.1</v>
      </c>
      <c r="S363" s="338">
        <f t="shared" si="110"/>
        <v>59.925289615043965</v>
      </c>
    </row>
    <row r="364" spans="1:19" ht="12.75">
      <c r="A364" s="13" t="s">
        <v>243</v>
      </c>
      <c r="B364" s="60"/>
      <c r="C364" s="89"/>
      <c r="D364" s="187">
        <f>6988.98+859.03</f>
        <v>7848.009999999999</v>
      </c>
      <c r="E364" s="157"/>
      <c r="F364" s="78">
        <f t="shared" si="114"/>
        <v>7848.009999999999</v>
      </c>
      <c r="G364" s="142"/>
      <c r="H364" s="210"/>
      <c r="I364" s="124">
        <f t="shared" si="115"/>
        <v>7848.009999999999</v>
      </c>
      <c r="J364" s="142">
        <f>2043.76</f>
        <v>2043.76</v>
      </c>
      <c r="K364" s="231"/>
      <c r="L364" s="279">
        <f t="shared" si="117"/>
        <v>9891.769999999999</v>
      </c>
      <c r="M364" s="320">
        <f>118.1</f>
        <v>118.1</v>
      </c>
      <c r="N364" s="186"/>
      <c r="O364" s="293">
        <f t="shared" si="118"/>
        <v>10009.869999999999</v>
      </c>
      <c r="P364" s="323"/>
      <c r="Q364" s="329">
        <f t="shared" si="116"/>
        <v>10009.869999999999</v>
      </c>
      <c r="R364" s="345">
        <v>1040.53</v>
      </c>
      <c r="S364" s="338">
        <f t="shared" si="110"/>
        <v>10.395040095425816</v>
      </c>
    </row>
    <row r="365" spans="1:19" ht="12.75">
      <c r="A365" s="13" t="s">
        <v>300</v>
      </c>
      <c r="B365" s="60"/>
      <c r="C365" s="89">
        <v>1000</v>
      </c>
      <c r="D365" s="196">
        <f>-1000</f>
        <v>-1000</v>
      </c>
      <c r="E365" s="157"/>
      <c r="F365" s="78">
        <f t="shared" si="114"/>
        <v>0</v>
      </c>
      <c r="G365" s="142"/>
      <c r="H365" s="210"/>
      <c r="I365" s="124">
        <f t="shared" si="115"/>
        <v>0</v>
      </c>
      <c r="J365" s="142"/>
      <c r="K365" s="231"/>
      <c r="L365" s="279">
        <f t="shared" si="117"/>
        <v>0</v>
      </c>
      <c r="M365" s="320"/>
      <c r="N365" s="186"/>
      <c r="O365" s="293">
        <f t="shared" si="118"/>
        <v>0</v>
      </c>
      <c r="P365" s="323"/>
      <c r="Q365" s="329">
        <f t="shared" si="116"/>
        <v>0</v>
      </c>
      <c r="R365" s="345"/>
      <c r="S365" s="361" t="s">
        <v>400</v>
      </c>
    </row>
    <row r="366" spans="1:19" ht="12.75" hidden="1">
      <c r="A366" s="13" t="s">
        <v>293</v>
      </c>
      <c r="B366" s="60"/>
      <c r="C366" s="89"/>
      <c r="D366" s="187"/>
      <c r="E366" s="157"/>
      <c r="F366" s="78">
        <f t="shared" si="114"/>
        <v>0</v>
      </c>
      <c r="G366" s="142"/>
      <c r="H366" s="210"/>
      <c r="I366" s="124">
        <f t="shared" si="115"/>
        <v>0</v>
      </c>
      <c r="J366" s="142"/>
      <c r="K366" s="231"/>
      <c r="L366" s="279">
        <f t="shared" si="117"/>
        <v>0</v>
      </c>
      <c r="M366" s="320"/>
      <c r="N366" s="186"/>
      <c r="O366" s="293">
        <f t="shared" si="118"/>
        <v>0</v>
      </c>
      <c r="P366" s="323"/>
      <c r="Q366" s="329">
        <f t="shared" si="116"/>
        <v>0</v>
      </c>
      <c r="R366" s="345"/>
      <c r="S366" s="338" t="e">
        <f t="shared" si="110"/>
        <v>#DIV/0!</v>
      </c>
    </row>
    <row r="367" spans="1:19" ht="12.75">
      <c r="A367" s="13" t="s">
        <v>367</v>
      </c>
      <c r="B367" s="60"/>
      <c r="C367" s="89"/>
      <c r="D367" s="187"/>
      <c r="E367" s="157"/>
      <c r="F367" s="78"/>
      <c r="G367" s="142"/>
      <c r="H367" s="210"/>
      <c r="I367" s="124">
        <f t="shared" si="115"/>
        <v>0</v>
      </c>
      <c r="J367" s="142">
        <f>6000</f>
        <v>6000</v>
      </c>
      <c r="K367" s="231"/>
      <c r="L367" s="279">
        <f t="shared" si="117"/>
        <v>6000</v>
      </c>
      <c r="M367" s="320">
        <f>36580</f>
        <v>36580</v>
      </c>
      <c r="N367" s="186"/>
      <c r="O367" s="293">
        <f t="shared" si="118"/>
        <v>42580</v>
      </c>
      <c r="P367" s="323"/>
      <c r="Q367" s="329">
        <f t="shared" si="116"/>
        <v>42580</v>
      </c>
      <c r="R367" s="345">
        <v>1834.78</v>
      </c>
      <c r="S367" s="338">
        <f t="shared" si="110"/>
        <v>4.309018318459371</v>
      </c>
    </row>
    <row r="368" spans="1:19" ht="12.75">
      <c r="A368" s="13" t="s">
        <v>242</v>
      </c>
      <c r="B368" s="60"/>
      <c r="C368" s="89"/>
      <c r="D368" s="187">
        <f>18.43+54.45+53.98+54.45+54.45</f>
        <v>235.76</v>
      </c>
      <c r="E368" s="157"/>
      <c r="F368" s="78">
        <f t="shared" si="114"/>
        <v>235.76</v>
      </c>
      <c r="G368" s="142">
        <f>726</f>
        <v>726</v>
      </c>
      <c r="H368" s="210"/>
      <c r="I368" s="124">
        <f t="shared" si="115"/>
        <v>961.76</v>
      </c>
      <c r="J368" s="142">
        <f>-54.45-54.45-54.45-12.85</f>
        <v>-176.20000000000002</v>
      </c>
      <c r="K368" s="231"/>
      <c r="L368" s="279">
        <f t="shared" si="117"/>
        <v>785.56</v>
      </c>
      <c r="M368" s="320">
        <f>36.3</f>
        <v>36.3</v>
      </c>
      <c r="N368" s="186"/>
      <c r="O368" s="293">
        <f t="shared" si="118"/>
        <v>821.8599999999999</v>
      </c>
      <c r="P368" s="323"/>
      <c r="Q368" s="329">
        <f t="shared" si="116"/>
        <v>821.8599999999999</v>
      </c>
      <c r="R368" s="345">
        <v>774.4</v>
      </c>
      <c r="S368" s="338">
        <f t="shared" si="110"/>
        <v>94.22529384566715</v>
      </c>
    </row>
    <row r="369" spans="1:19" ht="12.75">
      <c r="A369" s="13" t="s">
        <v>248</v>
      </c>
      <c r="B369" s="60"/>
      <c r="C369" s="89"/>
      <c r="D369" s="187">
        <f>7000</f>
        <v>7000</v>
      </c>
      <c r="E369" s="157"/>
      <c r="F369" s="78">
        <f t="shared" si="114"/>
        <v>7000</v>
      </c>
      <c r="G369" s="142">
        <f>2000</f>
        <v>2000</v>
      </c>
      <c r="H369" s="210"/>
      <c r="I369" s="124">
        <f t="shared" si="115"/>
        <v>9000</v>
      </c>
      <c r="J369" s="142">
        <f>6000</f>
        <v>6000</v>
      </c>
      <c r="K369" s="231"/>
      <c r="L369" s="279">
        <f t="shared" si="117"/>
        <v>15000</v>
      </c>
      <c r="M369" s="320"/>
      <c r="N369" s="186"/>
      <c r="O369" s="293">
        <f t="shared" si="118"/>
        <v>15000</v>
      </c>
      <c r="P369" s="323"/>
      <c r="Q369" s="329">
        <f t="shared" si="116"/>
        <v>15000</v>
      </c>
      <c r="R369" s="345">
        <v>12382.88</v>
      </c>
      <c r="S369" s="338">
        <f t="shared" si="110"/>
        <v>82.55253333333333</v>
      </c>
    </row>
    <row r="370" spans="1:19" ht="12.75">
      <c r="A370" s="13" t="s">
        <v>255</v>
      </c>
      <c r="B370" s="60"/>
      <c r="C370" s="89"/>
      <c r="D370" s="187"/>
      <c r="E370" s="157">
        <f>2684.77</f>
        <v>2684.77</v>
      </c>
      <c r="F370" s="78">
        <f t="shared" si="114"/>
        <v>2684.77</v>
      </c>
      <c r="G370" s="142">
        <f>48.4</f>
        <v>48.4</v>
      </c>
      <c r="H370" s="210"/>
      <c r="I370" s="124">
        <f t="shared" si="115"/>
        <v>2733.17</v>
      </c>
      <c r="J370" s="142">
        <f>191.82</f>
        <v>191.82</v>
      </c>
      <c r="K370" s="231">
        <f>-2876.59</f>
        <v>-2876.59</v>
      </c>
      <c r="L370" s="279">
        <f t="shared" si="117"/>
        <v>48.40000000000009</v>
      </c>
      <c r="M370" s="320">
        <f>48.4</f>
        <v>48.4</v>
      </c>
      <c r="N370" s="186"/>
      <c r="O370" s="293">
        <f t="shared" si="118"/>
        <v>96.8000000000001</v>
      </c>
      <c r="P370" s="323"/>
      <c r="Q370" s="329">
        <f t="shared" si="116"/>
        <v>96.8000000000001</v>
      </c>
      <c r="R370" s="345">
        <v>96.8</v>
      </c>
      <c r="S370" s="338">
        <f t="shared" si="110"/>
        <v>99.9999999999999</v>
      </c>
    </row>
    <row r="371" spans="1:19" ht="12.75">
      <c r="A371" s="13" t="s">
        <v>253</v>
      </c>
      <c r="B371" s="60"/>
      <c r="C371" s="89"/>
      <c r="D371" s="187">
        <f>339.26+95.3</f>
        <v>434.56</v>
      </c>
      <c r="E371" s="157"/>
      <c r="F371" s="78">
        <f t="shared" si="114"/>
        <v>434.56</v>
      </c>
      <c r="G371" s="142"/>
      <c r="H371" s="210"/>
      <c r="I371" s="124">
        <f t="shared" si="115"/>
        <v>434.56</v>
      </c>
      <c r="J371" s="142"/>
      <c r="K371" s="231"/>
      <c r="L371" s="279">
        <f t="shared" si="117"/>
        <v>434.56</v>
      </c>
      <c r="M371" s="320">
        <f>48.4</f>
        <v>48.4</v>
      </c>
      <c r="N371" s="186"/>
      <c r="O371" s="293">
        <f t="shared" si="118"/>
        <v>482.96</v>
      </c>
      <c r="P371" s="323"/>
      <c r="Q371" s="329">
        <f t="shared" si="116"/>
        <v>482.96</v>
      </c>
      <c r="R371" s="345">
        <v>268.4</v>
      </c>
      <c r="S371" s="338">
        <f t="shared" si="110"/>
        <v>55.573960576445245</v>
      </c>
    </row>
    <row r="372" spans="1:19" ht="12.75">
      <c r="A372" s="13" t="s">
        <v>301</v>
      </c>
      <c r="B372" s="60"/>
      <c r="C372" s="89">
        <v>1795</v>
      </c>
      <c r="D372" s="187">
        <f>-200</f>
        <v>-200</v>
      </c>
      <c r="E372" s="157"/>
      <c r="F372" s="78">
        <f t="shared" si="114"/>
        <v>1595</v>
      </c>
      <c r="G372" s="142"/>
      <c r="H372" s="210"/>
      <c r="I372" s="124">
        <f t="shared" si="115"/>
        <v>1595</v>
      </c>
      <c r="J372" s="142"/>
      <c r="K372" s="231"/>
      <c r="L372" s="279">
        <f t="shared" si="117"/>
        <v>1595</v>
      </c>
      <c r="M372" s="320"/>
      <c r="N372" s="186"/>
      <c r="O372" s="293">
        <f t="shared" si="118"/>
        <v>1595</v>
      </c>
      <c r="P372" s="323"/>
      <c r="Q372" s="329">
        <f t="shared" si="116"/>
        <v>1595</v>
      </c>
      <c r="R372" s="345"/>
      <c r="S372" s="361" t="s">
        <v>400</v>
      </c>
    </row>
    <row r="373" spans="1:19" ht="12.75" hidden="1">
      <c r="A373" s="13" t="s">
        <v>233</v>
      </c>
      <c r="B373" s="60"/>
      <c r="C373" s="89"/>
      <c r="D373" s="196">
        <f>900-900</f>
        <v>0</v>
      </c>
      <c r="E373" s="157"/>
      <c r="F373" s="78">
        <f t="shared" si="114"/>
        <v>0</v>
      </c>
      <c r="G373" s="142"/>
      <c r="H373" s="210"/>
      <c r="I373" s="124">
        <f t="shared" si="115"/>
        <v>0</v>
      </c>
      <c r="J373" s="142"/>
      <c r="K373" s="231"/>
      <c r="L373" s="279"/>
      <c r="M373" s="320"/>
      <c r="N373" s="186"/>
      <c r="O373" s="293"/>
      <c r="P373" s="323"/>
      <c r="Q373" s="329"/>
      <c r="R373" s="345"/>
      <c r="S373" s="338" t="e">
        <f t="shared" si="110"/>
        <v>#DIV/0!</v>
      </c>
    </row>
    <row r="374" spans="1:19" ht="12.75">
      <c r="A374" s="19" t="s">
        <v>65</v>
      </c>
      <c r="B374" s="64"/>
      <c r="C374" s="84">
        <f>SUM(C376:C390)</f>
        <v>512144.6</v>
      </c>
      <c r="D374" s="191">
        <f aca="true" t="shared" si="120" ref="D374:R374">SUM(D376:D390)</f>
        <v>623965.65</v>
      </c>
      <c r="E374" s="166">
        <f t="shared" si="120"/>
        <v>-5034.77</v>
      </c>
      <c r="F374" s="85">
        <f t="shared" si="120"/>
        <v>1131075.4799999997</v>
      </c>
      <c r="G374" s="84">
        <f t="shared" si="120"/>
        <v>423842.95999999996</v>
      </c>
      <c r="H374" s="191">
        <f t="shared" si="120"/>
        <v>0</v>
      </c>
      <c r="I374" s="85">
        <f t="shared" si="120"/>
        <v>1554918.4399999997</v>
      </c>
      <c r="J374" s="146">
        <f t="shared" si="120"/>
        <v>105556.9</v>
      </c>
      <c r="K374" s="235">
        <f t="shared" si="120"/>
        <v>2876.59</v>
      </c>
      <c r="L374" s="282">
        <f t="shared" si="120"/>
        <v>1663351.93</v>
      </c>
      <c r="M374" s="235">
        <f t="shared" si="120"/>
        <v>63238.07000000001</v>
      </c>
      <c r="N374" s="214">
        <f t="shared" si="120"/>
        <v>0</v>
      </c>
      <c r="O374" s="244">
        <f t="shared" si="120"/>
        <v>1726590</v>
      </c>
      <c r="P374" s="84">
        <f t="shared" si="120"/>
        <v>23849.250000000004</v>
      </c>
      <c r="Q374" s="85">
        <f t="shared" si="120"/>
        <v>1753759.25</v>
      </c>
      <c r="R374" s="367">
        <f t="shared" si="120"/>
        <v>585088.5900000001</v>
      </c>
      <c r="S374" s="344">
        <f t="shared" si="110"/>
        <v>33.36196744222447</v>
      </c>
    </row>
    <row r="375" spans="1:19" ht="12.75">
      <c r="A375" s="17" t="s">
        <v>31</v>
      </c>
      <c r="B375" s="60"/>
      <c r="C375" s="79"/>
      <c r="D375" s="186"/>
      <c r="E375" s="157"/>
      <c r="F375" s="78"/>
      <c r="G375" s="142"/>
      <c r="H375" s="210"/>
      <c r="I375" s="124"/>
      <c r="J375" s="142"/>
      <c r="K375" s="231"/>
      <c r="L375" s="279"/>
      <c r="M375" s="320"/>
      <c r="N375" s="186"/>
      <c r="O375" s="293"/>
      <c r="P375" s="323"/>
      <c r="Q375" s="329"/>
      <c r="R375" s="345"/>
      <c r="S375" s="338"/>
    </row>
    <row r="376" spans="1:19" ht="12.75">
      <c r="A376" s="17" t="s">
        <v>230</v>
      </c>
      <c r="B376" s="60" t="s">
        <v>336</v>
      </c>
      <c r="C376" s="79"/>
      <c r="D376" s="186">
        <f>100+50</f>
        <v>150</v>
      </c>
      <c r="E376" s="157"/>
      <c r="F376" s="78">
        <f aca="true" t="shared" si="121" ref="F376:F402">C376+D376+E376</f>
        <v>150</v>
      </c>
      <c r="G376" s="142"/>
      <c r="H376" s="210"/>
      <c r="I376" s="124">
        <f aca="true" t="shared" si="122" ref="I376:I389">F376+G376+H376</f>
        <v>150</v>
      </c>
      <c r="J376" s="142"/>
      <c r="K376" s="231"/>
      <c r="L376" s="279">
        <f aca="true" t="shared" si="123" ref="L376:L402">I376+J376+K376</f>
        <v>150</v>
      </c>
      <c r="M376" s="320"/>
      <c r="N376" s="186"/>
      <c r="O376" s="293">
        <f aca="true" t="shared" si="124" ref="O376:O402">L376+M376+N376</f>
        <v>150</v>
      </c>
      <c r="P376" s="323"/>
      <c r="Q376" s="329">
        <f aca="true" t="shared" si="125" ref="Q376:Q401">O376+P376</f>
        <v>150</v>
      </c>
      <c r="R376" s="345">
        <v>148.84</v>
      </c>
      <c r="S376" s="338">
        <f t="shared" si="110"/>
        <v>99.22666666666667</v>
      </c>
    </row>
    <row r="377" spans="1:19" ht="12.75">
      <c r="A377" s="17" t="s">
        <v>229</v>
      </c>
      <c r="B377" s="122" t="s">
        <v>337</v>
      </c>
      <c r="C377" s="79">
        <v>4865</v>
      </c>
      <c r="D377" s="186">
        <f>1093.16</f>
        <v>1093.16</v>
      </c>
      <c r="E377" s="157"/>
      <c r="F377" s="78">
        <f t="shared" si="121"/>
        <v>5958.16</v>
      </c>
      <c r="G377" s="142"/>
      <c r="H377" s="210"/>
      <c r="I377" s="124">
        <f t="shared" si="122"/>
        <v>5958.16</v>
      </c>
      <c r="J377" s="142"/>
      <c r="K377" s="231"/>
      <c r="L377" s="279">
        <f t="shared" si="123"/>
        <v>5958.16</v>
      </c>
      <c r="M377" s="320"/>
      <c r="N377" s="186"/>
      <c r="O377" s="293">
        <f t="shared" si="124"/>
        <v>5958.16</v>
      </c>
      <c r="P377" s="323"/>
      <c r="Q377" s="329">
        <f t="shared" si="125"/>
        <v>5958.16</v>
      </c>
      <c r="R377" s="345">
        <v>4965.28</v>
      </c>
      <c r="S377" s="338">
        <f t="shared" si="110"/>
        <v>83.33579494340533</v>
      </c>
    </row>
    <row r="378" spans="1:19" ht="12.75">
      <c r="A378" s="17" t="s">
        <v>220</v>
      </c>
      <c r="B378" s="60"/>
      <c r="C378" s="79">
        <v>13580</v>
      </c>
      <c r="D378" s="186"/>
      <c r="E378" s="157"/>
      <c r="F378" s="78">
        <f t="shared" si="121"/>
        <v>13580</v>
      </c>
      <c r="G378" s="142"/>
      <c r="H378" s="210"/>
      <c r="I378" s="124">
        <f t="shared" si="122"/>
        <v>13580</v>
      </c>
      <c r="J378" s="142"/>
      <c r="K378" s="231"/>
      <c r="L378" s="279">
        <f t="shared" si="123"/>
        <v>13580</v>
      </c>
      <c r="M378" s="320">
        <f>11600</f>
        <v>11600</v>
      </c>
      <c r="N378" s="186"/>
      <c r="O378" s="293">
        <f t="shared" si="124"/>
        <v>25180</v>
      </c>
      <c r="P378" s="323"/>
      <c r="Q378" s="329">
        <f t="shared" si="125"/>
        <v>25180</v>
      </c>
      <c r="R378" s="345">
        <v>24608.51</v>
      </c>
      <c r="S378" s="338">
        <f t="shared" si="110"/>
        <v>97.73038125496424</v>
      </c>
    </row>
    <row r="379" spans="1:19" ht="12.75" hidden="1">
      <c r="A379" s="17" t="s">
        <v>311</v>
      </c>
      <c r="B379" s="60">
        <v>3000</v>
      </c>
      <c r="C379" s="79"/>
      <c r="D379" s="187"/>
      <c r="E379" s="165"/>
      <c r="F379" s="78">
        <f t="shared" si="121"/>
        <v>0</v>
      </c>
      <c r="G379" s="142"/>
      <c r="H379" s="210"/>
      <c r="I379" s="124">
        <f t="shared" si="122"/>
        <v>0</v>
      </c>
      <c r="J379" s="142"/>
      <c r="K379" s="231"/>
      <c r="L379" s="279">
        <f t="shared" si="123"/>
        <v>0</v>
      </c>
      <c r="M379" s="320"/>
      <c r="N379" s="186"/>
      <c r="O379" s="293">
        <f t="shared" si="124"/>
        <v>0</v>
      </c>
      <c r="P379" s="323"/>
      <c r="Q379" s="329">
        <f t="shared" si="125"/>
        <v>0</v>
      </c>
      <c r="R379" s="345"/>
      <c r="S379" s="338" t="e">
        <f t="shared" si="110"/>
        <v>#DIV/0!</v>
      </c>
    </row>
    <row r="380" spans="1:19" ht="12.75">
      <c r="A380" s="17" t="s">
        <v>328</v>
      </c>
      <c r="B380" s="60" t="s">
        <v>353</v>
      </c>
      <c r="C380" s="79"/>
      <c r="D380" s="187">
        <v>200</v>
      </c>
      <c r="E380" s="165"/>
      <c r="F380" s="78">
        <f t="shared" si="121"/>
        <v>200</v>
      </c>
      <c r="G380" s="142"/>
      <c r="H380" s="210"/>
      <c r="I380" s="124">
        <f t="shared" si="122"/>
        <v>200</v>
      </c>
      <c r="J380" s="142">
        <f>158+25</f>
        <v>183</v>
      </c>
      <c r="K380" s="231"/>
      <c r="L380" s="279">
        <f t="shared" si="123"/>
        <v>383</v>
      </c>
      <c r="M380" s="320"/>
      <c r="N380" s="186"/>
      <c r="O380" s="293">
        <f t="shared" si="124"/>
        <v>383</v>
      </c>
      <c r="P380" s="323"/>
      <c r="Q380" s="329">
        <f t="shared" si="125"/>
        <v>383</v>
      </c>
      <c r="R380" s="345">
        <v>88.55</v>
      </c>
      <c r="S380" s="338">
        <f t="shared" si="110"/>
        <v>23.120104438642297</v>
      </c>
    </row>
    <row r="381" spans="1:19" ht="12.75">
      <c r="A381" s="35" t="s">
        <v>381</v>
      </c>
      <c r="B381" s="60">
        <v>35672</v>
      </c>
      <c r="C381" s="79"/>
      <c r="D381" s="187"/>
      <c r="E381" s="165"/>
      <c r="F381" s="78"/>
      <c r="G381" s="142"/>
      <c r="H381" s="210"/>
      <c r="I381" s="124">
        <f t="shared" si="122"/>
        <v>0</v>
      </c>
      <c r="J381" s="142">
        <f>2145.08+687.9</f>
        <v>2832.98</v>
      </c>
      <c r="K381" s="231"/>
      <c r="L381" s="279">
        <f t="shared" si="123"/>
        <v>2832.98</v>
      </c>
      <c r="M381" s="320">
        <f>268.7</f>
        <v>268.7</v>
      </c>
      <c r="N381" s="186"/>
      <c r="O381" s="293">
        <f t="shared" si="124"/>
        <v>3101.68</v>
      </c>
      <c r="P381" s="323">
        <f>478.72+45.08</f>
        <v>523.8000000000001</v>
      </c>
      <c r="Q381" s="329">
        <f t="shared" si="125"/>
        <v>3625.48</v>
      </c>
      <c r="R381" s="345">
        <v>3625.48</v>
      </c>
      <c r="S381" s="338">
        <f t="shared" si="110"/>
        <v>100</v>
      </c>
    </row>
    <row r="382" spans="1:19" ht="12.75">
      <c r="A382" s="17" t="s">
        <v>295</v>
      </c>
      <c r="B382" s="60"/>
      <c r="C382" s="79">
        <v>330644.6</v>
      </c>
      <c r="D382" s="196">
        <f>3142.04+50000+94-250</f>
        <v>52986.04</v>
      </c>
      <c r="E382" s="167"/>
      <c r="F382" s="78">
        <f t="shared" si="121"/>
        <v>383630.63999999996</v>
      </c>
      <c r="G382" s="142">
        <f>-200000+250+23000+197600</f>
        <v>20850</v>
      </c>
      <c r="H382" s="210"/>
      <c r="I382" s="124">
        <f t="shared" si="122"/>
        <v>404480.63999999996</v>
      </c>
      <c r="J382" s="142">
        <f>-500</f>
        <v>-500</v>
      </c>
      <c r="K382" s="231"/>
      <c r="L382" s="279">
        <f t="shared" si="123"/>
        <v>403980.63999999996</v>
      </c>
      <c r="M382" s="320"/>
      <c r="N382" s="186"/>
      <c r="O382" s="293">
        <f t="shared" si="124"/>
        <v>403980.63999999996</v>
      </c>
      <c r="P382" s="323"/>
      <c r="Q382" s="329">
        <f t="shared" si="125"/>
        <v>403980.63999999996</v>
      </c>
      <c r="R382" s="345">
        <v>2459.93</v>
      </c>
      <c r="S382" s="338">
        <f t="shared" si="110"/>
        <v>0.6089227444166632</v>
      </c>
    </row>
    <row r="383" spans="1:19" ht="12.75">
      <c r="A383" s="17" t="s">
        <v>342</v>
      </c>
      <c r="B383" s="60" t="s">
        <v>245</v>
      </c>
      <c r="C383" s="79"/>
      <c r="D383" s="187">
        <f>223.92</f>
        <v>223.92</v>
      </c>
      <c r="E383" s="165"/>
      <c r="F383" s="78">
        <f t="shared" si="121"/>
        <v>223.92</v>
      </c>
      <c r="G383" s="142"/>
      <c r="H383" s="210"/>
      <c r="I383" s="124">
        <f t="shared" si="122"/>
        <v>223.92</v>
      </c>
      <c r="J383" s="142"/>
      <c r="K383" s="231"/>
      <c r="L383" s="279">
        <f t="shared" si="123"/>
        <v>223.92</v>
      </c>
      <c r="M383" s="320"/>
      <c r="N383" s="186"/>
      <c r="O383" s="293">
        <f t="shared" si="124"/>
        <v>223.92</v>
      </c>
      <c r="P383" s="323"/>
      <c r="Q383" s="329">
        <f t="shared" si="125"/>
        <v>223.92</v>
      </c>
      <c r="R383" s="345"/>
      <c r="S383" s="361" t="s">
        <v>400</v>
      </c>
    </row>
    <row r="384" spans="1:19" ht="12.75">
      <c r="A384" s="13" t="s">
        <v>341</v>
      </c>
      <c r="B384" s="60" t="s">
        <v>335</v>
      </c>
      <c r="C384" s="79">
        <v>28830</v>
      </c>
      <c r="D384" s="187">
        <f>9128.93</f>
        <v>9128.93</v>
      </c>
      <c r="E384" s="165"/>
      <c r="F384" s="78">
        <f t="shared" si="121"/>
        <v>37958.93</v>
      </c>
      <c r="G384" s="142"/>
      <c r="H384" s="210"/>
      <c r="I384" s="124">
        <f t="shared" si="122"/>
        <v>37958.93</v>
      </c>
      <c r="J384" s="142"/>
      <c r="K384" s="231"/>
      <c r="L384" s="279">
        <f t="shared" si="123"/>
        <v>37958.93</v>
      </c>
      <c r="M384" s="320"/>
      <c r="N384" s="186"/>
      <c r="O384" s="293">
        <f t="shared" si="124"/>
        <v>37958.93</v>
      </c>
      <c r="P384" s="323"/>
      <c r="Q384" s="329">
        <f t="shared" si="125"/>
        <v>37958.93</v>
      </c>
      <c r="R384" s="345">
        <v>4731.77</v>
      </c>
      <c r="S384" s="338">
        <f t="shared" si="110"/>
        <v>12.465498895780257</v>
      </c>
    </row>
    <row r="385" spans="1:19" ht="12.75">
      <c r="A385" s="13" t="s">
        <v>379</v>
      </c>
      <c r="B385" s="60">
        <v>97573</v>
      </c>
      <c r="C385" s="79"/>
      <c r="D385" s="187"/>
      <c r="E385" s="165"/>
      <c r="F385" s="78"/>
      <c r="G385" s="142"/>
      <c r="H385" s="210"/>
      <c r="I385" s="124"/>
      <c r="J385" s="142"/>
      <c r="K385" s="231"/>
      <c r="L385" s="279">
        <f t="shared" si="123"/>
        <v>0</v>
      </c>
      <c r="M385" s="320">
        <f>4045.81+2149.72</f>
        <v>6195.53</v>
      </c>
      <c r="N385" s="186"/>
      <c r="O385" s="293">
        <f t="shared" si="124"/>
        <v>6195.53</v>
      </c>
      <c r="P385" s="323">
        <f>1652.61+2417.66</f>
        <v>4070.2699999999995</v>
      </c>
      <c r="Q385" s="329">
        <f t="shared" si="125"/>
        <v>10265.8</v>
      </c>
      <c r="R385" s="345">
        <v>10265.8</v>
      </c>
      <c r="S385" s="338">
        <f t="shared" si="110"/>
        <v>100</v>
      </c>
    </row>
    <row r="386" spans="1:19" ht="12.75">
      <c r="A386" s="17" t="s">
        <v>221</v>
      </c>
      <c r="B386" s="60" t="s">
        <v>244</v>
      </c>
      <c r="C386" s="79">
        <v>32700</v>
      </c>
      <c r="D386" s="187">
        <f>56892.44</f>
        <v>56892.44</v>
      </c>
      <c r="E386" s="165"/>
      <c r="F386" s="78">
        <f t="shared" si="121"/>
        <v>89592.44</v>
      </c>
      <c r="G386" s="142"/>
      <c r="H386" s="210"/>
      <c r="I386" s="124">
        <f t="shared" si="122"/>
        <v>89592.44</v>
      </c>
      <c r="J386" s="142">
        <f>7950.46</f>
        <v>7950.46</v>
      </c>
      <c r="K386" s="231"/>
      <c r="L386" s="279">
        <f t="shared" si="123"/>
        <v>97542.90000000001</v>
      </c>
      <c r="M386" s="320"/>
      <c r="N386" s="186"/>
      <c r="O386" s="293">
        <f t="shared" si="124"/>
        <v>97542.90000000001</v>
      </c>
      <c r="P386" s="323">
        <f>11370.64</f>
        <v>11370.64</v>
      </c>
      <c r="Q386" s="329">
        <f t="shared" si="125"/>
        <v>108913.54000000001</v>
      </c>
      <c r="R386" s="363">
        <v>37056.36</v>
      </c>
      <c r="S386" s="338">
        <f t="shared" si="110"/>
        <v>34.02364848300771</v>
      </c>
    </row>
    <row r="387" spans="1:19" ht="12.75">
      <c r="A387" s="178" t="s">
        <v>346</v>
      </c>
      <c r="B387" s="60">
        <v>22777</v>
      </c>
      <c r="C387" s="79"/>
      <c r="D387" s="187"/>
      <c r="E387" s="165"/>
      <c r="F387" s="78">
        <f t="shared" si="121"/>
        <v>0</v>
      </c>
      <c r="G387" s="142">
        <f>13813.77+3608.96</f>
        <v>17422.73</v>
      </c>
      <c r="H387" s="210"/>
      <c r="I387" s="124">
        <f t="shared" si="122"/>
        <v>17422.73</v>
      </c>
      <c r="J387" s="142">
        <f>3177.81+1454.52+3577.1+3993.64</f>
        <v>12203.07</v>
      </c>
      <c r="K387" s="231"/>
      <c r="L387" s="279">
        <f t="shared" si="123"/>
        <v>29625.8</v>
      </c>
      <c r="M387" s="320">
        <f>63301.41+13474.85</f>
        <v>76776.26000000001</v>
      </c>
      <c r="N387" s="186"/>
      <c r="O387" s="293">
        <f t="shared" si="124"/>
        <v>106402.06000000001</v>
      </c>
      <c r="P387" s="323">
        <f>-1878.69</f>
        <v>-1878.69</v>
      </c>
      <c r="Q387" s="329">
        <f t="shared" si="125"/>
        <v>104523.37000000001</v>
      </c>
      <c r="R387" s="363">
        <v>103932.87</v>
      </c>
      <c r="S387" s="338">
        <f t="shared" si="110"/>
        <v>99.43505457200624</v>
      </c>
    </row>
    <row r="388" spans="1:19" ht="12.75">
      <c r="A388" s="13" t="s">
        <v>91</v>
      </c>
      <c r="B388" s="60">
        <v>91628</v>
      </c>
      <c r="C388" s="79"/>
      <c r="D388" s="187"/>
      <c r="E388" s="165"/>
      <c r="F388" s="78">
        <f t="shared" si="121"/>
        <v>0</v>
      </c>
      <c r="G388" s="142">
        <v>150000</v>
      </c>
      <c r="H388" s="210"/>
      <c r="I388" s="124">
        <f t="shared" si="122"/>
        <v>150000</v>
      </c>
      <c r="J388" s="142"/>
      <c r="K388" s="231"/>
      <c r="L388" s="279">
        <f t="shared" si="123"/>
        <v>150000</v>
      </c>
      <c r="M388" s="320">
        <f>-21351</f>
        <v>-21351</v>
      </c>
      <c r="N388" s="186"/>
      <c r="O388" s="293">
        <f t="shared" si="124"/>
        <v>128649</v>
      </c>
      <c r="P388" s="323">
        <f>1852</f>
        <v>1852</v>
      </c>
      <c r="Q388" s="329">
        <f t="shared" si="125"/>
        <v>130501</v>
      </c>
      <c r="R388" s="345">
        <v>130501</v>
      </c>
      <c r="S388" s="338">
        <f t="shared" si="110"/>
        <v>100</v>
      </c>
    </row>
    <row r="389" spans="1:19" ht="13.5" thickBot="1">
      <c r="A389" s="118" t="s">
        <v>289</v>
      </c>
      <c r="B389" s="115"/>
      <c r="C389" s="116"/>
      <c r="D389" s="372"/>
      <c r="E389" s="373"/>
      <c r="F389" s="117">
        <f t="shared" si="121"/>
        <v>0</v>
      </c>
      <c r="G389" s="139">
        <f>100</f>
        <v>100</v>
      </c>
      <c r="H389" s="219"/>
      <c r="I389" s="140">
        <f t="shared" si="122"/>
        <v>100</v>
      </c>
      <c r="J389" s="139"/>
      <c r="K389" s="270"/>
      <c r="L389" s="316">
        <f t="shared" si="123"/>
        <v>100</v>
      </c>
      <c r="M389" s="374"/>
      <c r="N389" s="194"/>
      <c r="O389" s="301">
        <f t="shared" si="124"/>
        <v>100</v>
      </c>
      <c r="P389" s="327"/>
      <c r="Q389" s="332">
        <f t="shared" si="125"/>
        <v>100</v>
      </c>
      <c r="R389" s="355">
        <v>100</v>
      </c>
      <c r="S389" s="339">
        <f t="shared" si="110"/>
        <v>100</v>
      </c>
    </row>
    <row r="390" spans="1:19" ht="12.75">
      <c r="A390" s="17" t="s">
        <v>222</v>
      </c>
      <c r="B390" s="60"/>
      <c r="C390" s="79">
        <f>SUM(C391:C402)</f>
        <v>101525</v>
      </c>
      <c r="D390" s="186">
        <f aca="true" t="shared" si="126" ref="D390:R390">SUM(D391:D402)</f>
        <v>503291.16</v>
      </c>
      <c r="E390" s="157">
        <f t="shared" si="126"/>
        <v>-5034.77</v>
      </c>
      <c r="F390" s="78">
        <f t="shared" si="126"/>
        <v>599781.3899999999</v>
      </c>
      <c r="G390" s="79">
        <f t="shared" si="126"/>
        <v>235470.22999999998</v>
      </c>
      <c r="H390" s="186">
        <f t="shared" si="126"/>
        <v>0</v>
      </c>
      <c r="I390" s="124">
        <f t="shared" si="126"/>
        <v>835251.6199999999</v>
      </c>
      <c r="J390" s="142">
        <f t="shared" si="126"/>
        <v>82887.38999999998</v>
      </c>
      <c r="K390" s="231">
        <f t="shared" si="126"/>
        <v>2876.59</v>
      </c>
      <c r="L390" s="279">
        <f t="shared" si="126"/>
        <v>921015.6</v>
      </c>
      <c r="M390" s="231">
        <f t="shared" si="126"/>
        <v>-10251.420000000002</v>
      </c>
      <c r="N390" s="210">
        <f t="shared" si="126"/>
        <v>0</v>
      </c>
      <c r="O390" s="229">
        <f t="shared" si="126"/>
        <v>910764.1799999999</v>
      </c>
      <c r="P390" s="79">
        <f t="shared" si="126"/>
        <v>7911.230000000006</v>
      </c>
      <c r="Q390" s="78">
        <f t="shared" si="126"/>
        <v>921995.41</v>
      </c>
      <c r="R390" s="353">
        <f t="shared" si="126"/>
        <v>262604.2</v>
      </c>
      <c r="S390" s="338">
        <f t="shared" si="110"/>
        <v>28.482159146540653</v>
      </c>
    </row>
    <row r="391" spans="1:19" ht="12.75">
      <c r="A391" s="17" t="s">
        <v>223</v>
      </c>
      <c r="B391" s="60"/>
      <c r="C391" s="79">
        <v>5000</v>
      </c>
      <c r="D391" s="187">
        <f>25500.88</f>
        <v>25500.88</v>
      </c>
      <c r="E391" s="157"/>
      <c r="F391" s="78">
        <f t="shared" si="121"/>
        <v>30500.88</v>
      </c>
      <c r="G391" s="142">
        <f>-683.49-1165.3-232.32</f>
        <v>-2081.11</v>
      </c>
      <c r="H391" s="210"/>
      <c r="I391" s="124">
        <f aca="true" t="shared" si="127" ref="I391:I402">F391+G391+H391</f>
        <v>28419.77</v>
      </c>
      <c r="J391" s="142">
        <f>-158-25-200</f>
        <v>-383</v>
      </c>
      <c r="K391" s="231"/>
      <c r="L391" s="279">
        <f t="shared" si="123"/>
        <v>28036.77</v>
      </c>
      <c r="M391" s="320"/>
      <c r="N391" s="186"/>
      <c r="O391" s="293">
        <f t="shared" si="124"/>
        <v>28036.77</v>
      </c>
      <c r="P391" s="323"/>
      <c r="Q391" s="329">
        <f t="shared" si="125"/>
        <v>28036.77</v>
      </c>
      <c r="R391" s="345"/>
      <c r="S391" s="361" t="s">
        <v>400</v>
      </c>
    </row>
    <row r="392" spans="1:19" ht="12.75">
      <c r="A392" s="17" t="s">
        <v>257</v>
      </c>
      <c r="B392" s="60"/>
      <c r="C392" s="79">
        <v>1000</v>
      </c>
      <c r="D392" s="187"/>
      <c r="E392" s="157"/>
      <c r="F392" s="78">
        <f t="shared" si="121"/>
        <v>1000</v>
      </c>
      <c r="G392" s="142"/>
      <c r="H392" s="210"/>
      <c r="I392" s="124">
        <f t="shared" si="127"/>
        <v>1000</v>
      </c>
      <c r="J392" s="142"/>
      <c r="K392" s="231"/>
      <c r="L392" s="279">
        <f t="shared" si="123"/>
        <v>1000</v>
      </c>
      <c r="M392" s="320"/>
      <c r="N392" s="186"/>
      <c r="O392" s="293">
        <f t="shared" si="124"/>
        <v>1000</v>
      </c>
      <c r="P392" s="323"/>
      <c r="Q392" s="329">
        <f t="shared" si="125"/>
        <v>1000</v>
      </c>
      <c r="R392" s="345">
        <v>1000</v>
      </c>
      <c r="S392" s="338">
        <f t="shared" si="110"/>
        <v>100</v>
      </c>
    </row>
    <row r="393" spans="1:19" ht="12.75">
      <c r="A393" s="17" t="s">
        <v>231</v>
      </c>
      <c r="B393" s="60"/>
      <c r="C393" s="79">
        <v>7540</v>
      </c>
      <c r="D393" s="187">
        <f>420</f>
        <v>420</v>
      </c>
      <c r="E393" s="157"/>
      <c r="F393" s="78">
        <f t="shared" si="121"/>
        <v>7960</v>
      </c>
      <c r="G393" s="142">
        <f>-744.15</f>
        <v>-744.15</v>
      </c>
      <c r="H393" s="210"/>
      <c r="I393" s="124">
        <f t="shared" si="127"/>
        <v>7215.85</v>
      </c>
      <c r="J393" s="142">
        <f>-744.15</f>
        <v>-744.15</v>
      </c>
      <c r="K393" s="231"/>
      <c r="L393" s="279">
        <f t="shared" si="123"/>
        <v>6471.700000000001</v>
      </c>
      <c r="M393" s="320">
        <f>-3000</f>
        <v>-3000</v>
      </c>
      <c r="N393" s="186"/>
      <c r="O393" s="293">
        <f t="shared" si="124"/>
        <v>3471.7000000000007</v>
      </c>
      <c r="P393" s="323"/>
      <c r="Q393" s="329">
        <f t="shared" si="125"/>
        <v>3471.7000000000007</v>
      </c>
      <c r="R393" s="345"/>
      <c r="S393" s="361" t="s">
        <v>400</v>
      </c>
    </row>
    <row r="394" spans="1:19" ht="12.75" hidden="1">
      <c r="A394" s="17" t="s">
        <v>280</v>
      </c>
      <c r="B394" s="60"/>
      <c r="C394" s="79"/>
      <c r="D394" s="187"/>
      <c r="E394" s="157"/>
      <c r="F394" s="78">
        <f t="shared" si="121"/>
        <v>0</v>
      </c>
      <c r="G394" s="142"/>
      <c r="H394" s="210"/>
      <c r="I394" s="124">
        <f t="shared" si="127"/>
        <v>0</v>
      </c>
      <c r="J394" s="142"/>
      <c r="K394" s="231"/>
      <c r="L394" s="279">
        <f t="shared" si="123"/>
        <v>0</v>
      </c>
      <c r="M394" s="320"/>
      <c r="N394" s="186"/>
      <c r="O394" s="293">
        <f t="shared" si="124"/>
        <v>0</v>
      </c>
      <c r="P394" s="323"/>
      <c r="Q394" s="329">
        <f t="shared" si="125"/>
        <v>0</v>
      </c>
      <c r="R394" s="345"/>
      <c r="S394" s="338" t="e">
        <f t="shared" si="110"/>
        <v>#DIV/0!</v>
      </c>
    </row>
    <row r="395" spans="1:19" ht="12.75">
      <c r="A395" s="17" t="s">
        <v>224</v>
      </c>
      <c r="B395" s="60"/>
      <c r="C395" s="79">
        <v>55000</v>
      </c>
      <c r="D395" s="187">
        <f>5824.66+148837.08+19427.69</f>
        <v>174089.43</v>
      </c>
      <c r="E395" s="157"/>
      <c r="F395" s="78">
        <f t="shared" si="121"/>
        <v>229089.43</v>
      </c>
      <c r="G395" s="142"/>
      <c r="H395" s="210"/>
      <c r="I395" s="124">
        <f t="shared" si="127"/>
        <v>229089.43</v>
      </c>
      <c r="J395" s="142">
        <f>-6000+36580+3303.3</f>
        <v>33883.3</v>
      </c>
      <c r="K395" s="231"/>
      <c r="L395" s="279">
        <f t="shared" si="123"/>
        <v>262972.73</v>
      </c>
      <c r="M395" s="320">
        <f>-36580+296.7+445.05+617.95+26412.22</f>
        <v>-8808.080000000002</v>
      </c>
      <c r="N395" s="186"/>
      <c r="O395" s="293">
        <f t="shared" si="124"/>
        <v>254164.64999999997</v>
      </c>
      <c r="P395" s="323">
        <f>74436.85+56425.14</f>
        <v>130861.99</v>
      </c>
      <c r="Q395" s="329">
        <f t="shared" si="125"/>
        <v>385026.63999999996</v>
      </c>
      <c r="R395" s="345">
        <v>212523.76</v>
      </c>
      <c r="S395" s="338">
        <f t="shared" si="110"/>
        <v>55.19715726683224</v>
      </c>
    </row>
    <row r="396" spans="1:19" ht="12.75">
      <c r="A396" s="17" t="s">
        <v>225</v>
      </c>
      <c r="B396" s="60"/>
      <c r="C396" s="79">
        <v>1853</v>
      </c>
      <c r="D396" s="187">
        <f>10+3215.05+15.29+115.07+5030.44+54.45+53.98+54.45+54.45+5264.14+5000+554.11+814.72</f>
        <v>20236.150000000005</v>
      </c>
      <c r="E396" s="157"/>
      <c r="F396" s="78">
        <f t="shared" si="121"/>
        <v>22089.150000000005</v>
      </c>
      <c r="G396" s="142">
        <f>5.7+70+37.8+6.1+1165.3+232.32-5264.14</f>
        <v>-3746.9200000000005</v>
      </c>
      <c r="H396" s="210"/>
      <c r="I396" s="124">
        <f t="shared" si="127"/>
        <v>18342.230000000003</v>
      </c>
      <c r="J396" s="142">
        <f>55.18+21.78+20+28.28+12.85+200</f>
        <v>338.09000000000003</v>
      </c>
      <c r="K396" s="231"/>
      <c r="L396" s="279">
        <f t="shared" si="123"/>
        <v>18680.320000000003</v>
      </c>
      <c r="M396" s="320">
        <f>85</f>
        <v>85</v>
      </c>
      <c r="N396" s="186"/>
      <c r="O396" s="293">
        <f t="shared" si="124"/>
        <v>18765.320000000003</v>
      </c>
      <c r="P396" s="323">
        <f>420.51+67.76+1437.48+675.98</f>
        <v>2601.73</v>
      </c>
      <c r="Q396" s="329">
        <f t="shared" si="125"/>
        <v>21367.050000000003</v>
      </c>
      <c r="R396" s="345">
        <v>15064.83</v>
      </c>
      <c r="S396" s="338">
        <f t="shared" si="110"/>
        <v>70.50495973941185</v>
      </c>
    </row>
    <row r="397" spans="1:19" ht="12.75">
      <c r="A397" s="17" t="s">
        <v>232</v>
      </c>
      <c r="B397" s="60"/>
      <c r="C397" s="79">
        <v>2500</v>
      </c>
      <c r="D397" s="187">
        <f>26000+2000-193.6+4719</f>
        <v>32525.4</v>
      </c>
      <c r="E397" s="157"/>
      <c r="F397" s="78">
        <f t="shared" si="121"/>
        <v>35025.4</v>
      </c>
      <c r="G397" s="142">
        <f>7000-2000</f>
        <v>5000</v>
      </c>
      <c r="H397" s="210"/>
      <c r="I397" s="124">
        <f t="shared" si="127"/>
        <v>40025.4</v>
      </c>
      <c r="J397" s="142">
        <f>1004.3-6000-880</f>
        <v>-5875.7</v>
      </c>
      <c r="K397" s="231"/>
      <c r="L397" s="279">
        <f t="shared" si="123"/>
        <v>34149.700000000004</v>
      </c>
      <c r="M397" s="320"/>
      <c r="N397" s="186"/>
      <c r="O397" s="293">
        <f t="shared" si="124"/>
        <v>34149.700000000004</v>
      </c>
      <c r="P397" s="323"/>
      <c r="Q397" s="329">
        <f t="shared" si="125"/>
        <v>34149.700000000004</v>
      </c>
      <c r="R397" s="345">
        <v>22532.29</v>
      </c>
      <c r="S397" s="338">
        <f t="shared" si="110"/>
        <v>65.98093101842768</v>
      </c>
    </row>
    <row r="398" spans="1:19" ht="12.75">
      <c r="A398" s="17" t="s">
        <v>254</v>
      </c>
      <c r="B398" s="60"/>
      <c r="C398" s="79">
        <v>4800</v>
      </c>
      <c r="D398" s="187">
        <f>25.2+19.2+5070.6+1300+252.91+154.73+646.48+171.3</f>
        <v>7640.419999999999</v>
      </c>
      <c r="E398" s="157"/>
      <c r="F398" s="78">
        <f t="shared" si="121"/>
        <v>12440.419999999998</v>
      </c>
      <c r="G398" s="142">
        <f>499.14+1086.47+5.5+19.2+3.5+683.49+649.85</f>
        <v>2947.15</v>
      </c>
      <c r="H398" s="210"/>
      <c r="I398" s="124">
        <f t="shared" si="127"/>
        <v>15387.569999999998</v>
      </c>
      <c r="J398" s="142">
        <f>30.25+392.95+8000+70</f>
        <v>8493.2</v>
      </c>
      <c r="K398" s="231">
        <f>2559.73</f>
        <v>2559.73</v>
      </c>
      <c r="L398" s="279">
        <f t="shared" si="123"/>
        <v>26440.499999999996</v>
      </c>
      <c r="M398" s="320">
        <f>3000</f>
        <v>3000</v>
      </c>
      <c r="N398" s="186"/>
      <c r="O398" s="293">
        <f t="shared" si="124"/>
        <v>29440.499999999996</v>
      </c>
      <c r="P398" s="323">
        <f>31.7</f>
        <v>31.7</v>
      </c>
      <c r="Q398" s="329">
        <f t="shared" si="125"/>
        <v>29472.199999999997</v>
      </c>
      <c r="R398" s="345">
        <v>9699.33</v>
      </c>
      <c r="S398" s="338">
        <f t="shared" si="110"/>
        <v>32.91009832995162</v>
      </c>
    </row>
    <row r="399" spans="1:19" ht="12.75">
      <c r="A399" s="17" t="s">
        <v>226</v>
      </c>
      <c r="B399" s="60"/>
      <c r="C399" s="79">
        <v>6200</v>
      </c>
      <c r="D399" s="186">
        <f>26.34+5.6+685+4926.72+8000+7.32</f>
        <v>13650.98</v>
      </c>
      <c r="E399" s="157"/>
      <c r="F399" s="78">
        <f t="shared" si="121"/>
        <v>19850.98</v>
      </c>
      <c r="G399" s="142"/>
      <c r="H399" s="210"/>
      <c r="I399" s="124">
        <f t="shared" si="127"/>
        <v>19850.98</v>
      </c>
      <c r="J399" s="142">
        <f>-602.98+41000</f>
        <v>40397.02</v>
      </c>
      <c r="K399" s="231"/>
      <c r="L399" s="279">
        <f t="shared" si="123"/>
        <v>60248</v>
      </c>
      <c r="M399" s="320">
        <f>20</f>
        <v>20</v>
      </c>
      <c r="N399" s="186"/>
      <c r="O399" s="293">
        <f t="shared" si="124"/>
        <v>60268</v>
      </c>
      <c r="P399" s="323"/>
      <c r="Q399" s="329">
        <f t="shared" si="125"/>
        <v>60268</v>
      </c>
      <c r="R399" s="345">
        <v>1783.99</v>
      </c>
      <c r="S399" s="338">
        <f aca="true" t="shared" si="128" ref="S399:S462">R399/Q399*100</f>
        <v>2.960094909404659</v>
      </c>
    </row>
    <row r="400" spans="1:19" ht="12.75">
      <c r="A400" s="17" t="s">
        <v>279</v>
      </c>
      <c r="B400" s="60"/>
      <c r="C400" s="79"/>
      <c r="D400" s="186">
        <f>137600</f>
        <v>137600</v>
      </c>
      <c r="E400" s="157"/>
      <c r="F400" s="78">
        <f t="shared" si="121"/>
        <v>137600</v>
      </c>
      <c r="G400" s="142">
        <f>200000+60000-197600</f>
        <v>62400</v>
      </c>
      <c r="H400" s="210"/>
      <c r="I400" s="124">
        <f t="shared" si="127"/>
        <v>200000</v>
      </c>
      <c r="J400" s="142"/>
      <c r="K400" s="231"/>
      <c r="L400" s="279">
        <f t="shared" si="123"/>
        <v>200000</v>
      </c>
      <c r="M400" s="320"/>
      <c r="N400" s="186"/>
      <c r="O400" s="293">
        <f t="shared" si="124"/>
        <v>200000</v>
      </c>
      <c r="P400" s="323">
        <f>7898.89-74436.85-56425.14</f>
        <v>-122963.1</v>
      </c>
      <c r="Q400" s="329">
        <f t="shared" si="125"/>
        <v>77036.9</v>
      </c>
      <c r="R400" s="345"/>
      <c r="S400" s="361" t="s">
        <v>400</v>
      </c>
    </row>
    <row r="401" spans="1:19" ht="12.75">
      <c r="A401" s="17" t="s">
        <v>303</v>
      </c>
      <c r="B401" s="60"/>
      <c r="C401" s="79">
        <v>17632</v>
      </c>
      <c r="D401" s="186">
        <f>68650.95-36.34-5.6-3215.05-115.07-25.2-19.2-15.29-252.91-154.73+55.91-7.32-108.9-107.96-108.9-108.9-5264.14-5000-554.11-986.02</f>
        <v>52621.219999999994</v>
      </c>
      <c r="E401" s="157">
        <f>-2684.77</f>
        <v>-2684.77</v>
      </c>
      <c r="F401" s="78">
        <f t="shared" si="121"/>
        <v>67568.45</v>
      </c>
      <c r="G401" s="142">
        <f>-508.2-169.4-36.3-12.1-36.3-12.1-499.14-1086.47-11.2-70-19.2-3.5-37.8-6.1-649.85+5264.14</f>
        <v>2106.4800000000005</v>
      </c>
      <c r="H401" s="210"/>
      <c r="I401" s="124">
        <f t="shared" si="127"/>
        <v>69674.93</v>
      </c>
      <c r="J401" s="142">
        <f>-55.18-52.03+401.5-20-392.95+1034.86+353.26+473.63-191.82+54.45+54.45+26.17</f>
        <v>1686.34</v>
      </c>
      <c r="K401" s="231">
        <f>316.86</f>
        <v>316.86</v>
      </c>
      <c r="L401" s="279">
        <f t="shared" si="123"/>
        <v>71678.12999999999</v>
      </c>
      <c r="M401" s="320">
        <f>-72.6-24.2-85-36.3-445.05</f>
        <v>-663.1500000000001</v>
      </c>
      <c r="N401" s="186"/>
      <c r="O401" s="293">
        <f t="shared" si="124"/>
        <v>71014.98</v>
      </c>
      <c r="P401" s="323">
        <f>-420.51-67.76-31.7-675.98</f>
        <v>-1195.95</v>
      </c>
      <c r="Q401" s="329">
        <f t="shared" si="125"/>
        <v>69819.03</v>
      </c>
      <c r="R401" s="345"/>
      <c r="S401" s="361" t="s">
        <v>400</v>
      </c>
    </row>
    <row r="402" spans="1:19" ht="12.75">
      <c r="A402" s="24" t="s">
        <v>304</v>
      </c>
      <c r="B402" s="63"/>
      <c r="C402" s="86"/>
      <c r="D402" s="193">
        <f>52746.27+559.06-5915-8000+163.6+316.83+716.53+221.86+67.53-1870</f>
        <v>39006.67999999999</v>
      </c>
      <c r="E402" s="161">
        <f>-2350</f>
        <v>-2350</v>
      </c>
      <c r="F402" s="112">
        <f t="shared" si="121"/>
        <v>36656.67999999999</v>
      </c>
      <c r="G402" s="136">
        <f>19445.79+9502.19+23280.26+31343.97+27239.43+26642.75+856.71+15.55+51.45+2059.94+331.16+6336.09+1603.13+94.3-250+2098.53+4.08+118.86+1036.85+54.57+2001.1+61724.34+34012.38-60000-23000+977.37+57.49+1950.49</f>
        <v>169588.77999999997</v>
      </c>
      <c r="H402" s="215"/>
      <c r="I402" s="129">
        <f t="shared" si="127"/>
        <v>206245.45999999996</v>
      </c>
      <c r="J402" s="136">
        <f>263.86+15.52-1004.3-1034.86+10147.57-150-3320+174.5</f>
        <v>5092.290000000001</v>
      </c>
      <c r="K402" s="233"/>
      <c r="L402" s="315">
        <f t="shared" si="123"/>
        <v>211337.74999999997</v>
      </c>
      <c r="M402" s="322">
        <f>-296.7+0.52-617.95+28.94</f>
        <v>-885.19</v>
      </c>
      <c r="N402" s="193"/>
      <c r="O402" s="295">
        <f t="shared" si="124"/>
        <v>210452.55999999997</v>
      </c>
      <c r="P402" s="326">
        <f>12.34-1437.48</f>
        <v>-1425.14</v>
      </c>
      <c r="Q402" s="330">
        <f>O402+P402+3320</f>
        <v>212347.41999999995</v>
      </c>
      <c r="R402" s="351"/>
      <c r="S402" s="368" t="s">
        <v>400</v>
      </c>
    </row>
    <row r="403" spans="1:19" ht="12.75">
      <c r="A403" s="10" t="s">
        <v>114</v>
      </c>
      <c r="B403" s="64"/>
      <c r="C403" s="75">
        <f aca="true" t="shared" si="129" ref="C403:L403">C404+C428</f>
        <v>171493.2</v>
      </c>
      <c r="D403" s="185">
        <f t="shared" si="129"/>
        <v>568616.98</v>
      </c>
      <c r="E403" s="156">
        <f t="shared" si="129"/>
        <v>0</v>
      </c>
      <c r="F403" s="77">
        <f t="shared" si="129"/>
        <v>740110.1799999999</v>
      </c>
      <c r="G403" s="75">
        <f t="shared" si="129"/>
        <v>5236</v>
      </c>
      <c r="H403" s="185">
        <f t="shared" si="129"/>
        <v>0</v>
      </c>
      <c r="I403" s="77">
        <f t="shared" si="129"/>
        <v>745346.1799999999</v>
      </c>
      <c r="J403" s="141">
        <f t="shared" si="129"/>
        <v>101978.72</v>
      </c>
      <c r="K403" s="230">
        <f t="shared" si="129"/>
        <v>0</v>
      </c>
      <c r="L403" s="217">
        <f t="shared" si="129"/>
        <v>847324.8999999999</v>
      </c>
      <c r="M403" s="230">
        <f aca="true" t="shared" si="130" ref="M403:R403">M404+M428</f>
        <v>900</v>
      </c>
      <c r="N403" s="209">
        <f t="shared" si="130"/>
        <v>0</v>
      </c>
      <c r="O403" s="228">
        <f t="shared" si="130"/>
        <v>848224.8999999999</v>
      </c>
      <c r="P403" s="75">
        <f t="shared" si="130"/>
        <v>-45374.16</v>
      </c>
      <c r="Q403" s="77">
        <f t="shared" si="130"/>
        <v>802850.74</v>
      </c>
      <c r="R403" s="346">
        <f t="shared" si="130"/>
        <v>786700.97</v>
      </c>
      <c r="S403" s="337">
        <f t="shared" si="128"/>
        <v>97.98844676907191</v>
      </c>
    </row>
    <row r="404" spans="1:19" ht="12.75">
      <c r="A404" s="19" t="s">
        <v>59</v>
      </c>
      <c r="B404" s="64"/>
      <c r="C404" s="84">
        <f aca="true" t="shared" si="131" ref="C404:L404">SUM(C406:C427)</f>
        <v>171493.2</v>
      </c>
      <c r="D404" s="191">
        <f t="shared" si="131"/>
        <v>568616.98</v>
      </c>
      <c r="E404" s="160">
        <f t="shared" si="131"/>
        <v>0</v>
      </c>
      <c r="F404" s="85">
        <f t="shared" si="131"/>
        <v>740110.1799999999</v>
      </c>
      <c r="G404" s="84">
        <f t="shared" si="131"/>
        <v>5236</v>
      </c>
      <c r="H404" s="191">
        <f t="shared" si="131"/>
        <v>0</v>
      </c>
      <c r="I404" s="85">
        <f t="shared" si="131"/>
        <v>745346.1799999999</v>
      </c>
      <c r="J404" s="146">
        <f t="shared" si="131"/>
        <v>101978.72</v>
      </c>
      <c r="K404" s="235">
        <f t="shared" si="131"/>
        <v>0</v>
      </c>
      <c r="L404" s="282">
        <f t="shared" si="131"/>
        <v>847324.8999999999</v>
      </c>
      <c r="M404" s="235">
        <f aca="true" t="shared" si="132" ref="M404:R404">SUM(M406:M427)</f>
        <v>900</v>
      </c>
      <c r="N404" s="214">
        <f t="shared" si="132"/>
        <v>0</v>
      </c>
      <c r="O404" s="244">
        <f t="shared" si="132"/>
        <v>848224.8999999999</v>
      </c>
      <c r="P404" s="84">
        <f t="shared" si="132"/>
        <v>-45374.16</v>
      </c>
      <c r="Q404" s="85">
        <f t="shared" si="132"/>
        <v>802850.74</v>
      </c>
      <c r="R404" s="349">
        <f t="shared" si="132"/>
        <v>786700.97</v>
      </c>
      <c r="S404" s="344">
        <f t="shared" si="128"/>
        <v>97.98844676907191</v>
      </c>
    </row>
    <row r="405" spans="1:19" ht="12.75">
      <c r="A405" s="15" t="s">
        <v>31</v>
      </c>
      <c r="B405" s="60"/>
      <c r="C405" s="79"/>
      <c r="D405" s="186"/>
      <c r="E405" s="157"/>
      <c r="F405" s="78"/>
      <c r="G405" s="142"/>
      <c r="H405" s="210"/>
      <c r="I405" s="124"/>
      <c r="J405" s="142"/>
      <c r="K405" s="231"/>
      <c r="L405" s="279"/>
      <c r="M405" s="225"/>
      <c r="N405" s="186"/>
      <c r="O405" s="293"/>
      <c r="P405" s="323"/>
      <c r="Q405" s="329"/>
      <c r="R405" s="345"/>
      <c r="S405" s="338"/>
    </row>
    <row r="406" spans="1:19" ht="12.75">
      <c r="A406" s="26" t="s">
        <v>115</v>
      </c>
      <c r="B406" s="66"/>
      <c r="C406" s="79">
        <v>137589.6</v>
      </c>
      <c r="D406" s="186"/>
      <c r="E406" s="157"/>
      <c r="F406" s="78">
        <f aca="true" t="shared" si="133" ref="F406:F427">C406+D406+E406</f>
        <v>137589.6</v>
      </c>
      <c r="G406" s="142">
        <f>205.61</f>
        <v>205.61</v>
      </c>
      <c r="H406" s="210"/>
      <c r="I406" s="124">
        <f>F406+G406+H406</f>
        <v>137795.21</v>
      </c>
      <c r="J406" s="142">
        <f>9000</f>
        <v>9000</v>
      </c>
      <c r="K406" s="231"/>
      <c r="L406" s="279">
        <f>I406+J406+K406</f>
        <v>146795.21</v>
      </c>
      <c r="M406" s="225"/>
      <c r="N406" s="186"/>
      <c r="O406" s="293">
        <f>L406+M406+N406</f>
        <v>146795.21</v>
      </c>
      <c r="P406" s="323"/>
      <c r="Q406" s="329">
        <f>O406+P406</f>
        <v>146795.21</v>
      </c>
      <c r="R406" s="345">
        <v>146795.21</v>
      </c>
      <c r="S406" s="338">
        <f t="shared" si="128"/>
        <v>100</v>
      </c>
    </row>
    <row r="407" spans="1:19" ht="12.75" hidden="1">
      <c r="A407" s="13" t="s">
        <v>183</v>
      </c>
      <c r="B407" s="60"/>
      <c r="C407" s="79"/>
      <c r="D407" s="186"/>
      <c r="E407" s="157"/>
      <c r="F407" s="78">
        <f t="shared" si="133"/>
        <v>0</v>
      </c>
      <c r="G407" s="142"/>
      <c r="H407" s="210"/>
      <c r="I407" s="124">
        <f aca="true" t="shared" si="134" ref="I407:I423">F407+G407+H407</f>
        <v>0</v>
      </c>
      <c r="J407" s="142"/>
      <c r="K407" s="231"/>
      <c r="L407" s="279">
        <f aca="true" t="shared" si="135" ref="L407:L427">I407+J407+K407</f>
        <v>0</v>
      </c>
      <c r="M407" s="225"/>
      <c r="N407" s="186"/>
      <c r="O407" s="293">
        <f aca="true" t="shared" si="136" ref="O407:O423">L407+M407+N407</f>
        <v>0</v>
      </c>
      <c r="P407" s="323"/>
      <c r="Q407" s="329">
        <f aca="true" t="shared" si="137" ref="Q407:Q427">O407+P407</f>
        <v>0</v>
      </c>
      <c r="R407" s="345"/>
      <c r="S407" s="338" t="e">
        <f t="shared" si="128"/>
        <v>#DIV/0!</v>
      </c>
    </row>
    <row r="408" spans="1:19" ht="12.75">
      <c r="A408" s="13" t="s">
        <v>211</v>
      </c>
      <c r="B408" s="60"/>
      <c r="C408" s="79">
        <v>26000</v>
      </c>
      <c r="D408" s="186"/>
      <c r="E408" s="157"/>
      <c r="F408" s="78">
        <f t="shared" si="133"/>
        <v>26000</v>
      </c>
      <c r="G408" s="142">
        <f>-2200</f>
        <v>-2200</v>
      </c>
      <c r="H408" s="210"/>
      <c r="I408" s="124">
        <f t="shared" si="134"/>
        <v>23800</v>
      </c>
      <c r="J408" s="142"/>
      <c r="K408" s="231"/>
      <c r="L408" s="279">
        <f t="shared" si="135"/>
        <v>23800</v>
      </c>
      <c r="M408" s="225"/>
      <c r="N408" s="186"/>
      <c r="O408" s="293">
        <f t="shared" si="136"/>
        <v>23800</v>
      </c>
      <c r="P408" s="323"/>
      <c r="Q408" s="329">
        <f t="shared" si="137"/>
        <v>23800</v>
      </c>
      <c r="R408" s="345">
        <v>23800</v>
      </c>
      <c r="S408" s="338">
        <f t="shared" si="128"/>
        <v>100</v>
      </c>
    </row>
    <row r="409" spans="1:19" ht="12.75">
      <c r="A409" s="13" t="s">
        <v>62</v>
      </c>
      <c r="B409" s="60"/>
      <c r="C409" s="79">
        <v>7903.6</v>
      </c>
      <c r="D409" s="186">
        <f>900+209.8-528.53</f>
        <v>581.27</v>
      </c>
      <c r="E409" s="157"/>
      <c r="F409" s="78">
        <f t="shared" si="133"/>
        <v>8484.87</v>
      </c>
      <c r="G409" s="142">
        <f>2200</f>
        <v>2200</v>
      </c>
      <c r="H409" s="210"/>
      <c r="I409" s="124">
        <f t="shared" si="134"/>
        <v>10684.87</v>
      </c>
      <c r="J409" s="142">
        <f>528.46</f>
        <v>528.46</v>
      </c>
      <c r="K409" s="231"/>
      <c r="L409" s="279">
        <f t="shared" si="135"/>
        <v>11213.330000000002</v>
      </c>
      <c r="M409" s="225"/>
      <c r="N409" s="186"/>
      <c r="O409" s="293">
        <f t="shared" si="136"/>
        <v>11213.330000000002</v>
      </c>
      <c r="P409" s="323"/>
      <c r="Q409" s="329">
        <f t="shared" si="137"/>
        <v>11213.330000000002</v>
      </c>
      <c r="R409" s="345">
        <v>10467.42</v>
      </c>
      <c r="S409" s="338">
        <f t="shared" si="128"/>
        <v>93.34800634601852</v>
      </c>
    </row>
    <row r="410" spans="1:19" ht="12.75" hidden="1">
      <c r="A410" s="13" t="s">
        <v>77</v>
      </c>
      <c r="B410" s="60"/>
      <c r="C410" s="79"/>
      <c r="D410" s="186"/>
      <c r="E410" s="157"/>
      <c r="F410" s="78">
        <f t="shared" si="133"/>
        <v>0</v>
      </c>
      <c r="G410" s="142"/>
      <c r="H410" s="210"/>
      <c r="I410" s="124">
        <f t="shared" si="134"/>
        <v>0</v>
      </c>
      <c r="J410" s="142"/>
      <c r="K410" s="231"/>
      <c r="L410" s="279">
        <f t="shared" si="135"/>
        <v>0</v>
      </c>
      <c r="M410" s="225"/>
      <c r="N410" s="186"/>
      <c r="O410" s="293">
        <f t="shared" si="136"/>
        <v>0</v>
      </c>
      <c r="P410" s="323"/>
      <c r="Q410" s="329">
        <f t="shared" si="137"/>
        <v>0</v>
      </c>
      <c r="R410" s="345"/>
      <c r="S410" s="338" t="e">
        <f t="shared" si="128"/>
        <v>#DIV/0!</v>
      </c>
    </row>
    <row r="411" spans="1:19" ht="12.75">
      <c r="A411" s="13" t="s">
        <v>368</v>
      </c>
      <c r="B411" s="60"/>
      <c r="C411" s="79"/>
      <c r="D411" s="186"/>
      <c r="E411" s="157"/>
      <c r="F411" s="78">
        <f t="shared" si="133"/>
        <v>0</v>
      </c>
      <c r="G411" s="142"/>
      <c r="H411" s="210"/>
      <c r="I411" s="124">
        <f t="shared" si="134"/>
        <v>0</v>
      </c>
      <c r="J411" s="142">
        <f>1031.58+1249.36+1413.95</f>
        <v>3694.8899999999994</v>
      </c>
      <c r="K411" s="231"/>
      <c r="L411" s="279">
        <f t="shared" si="135"/>
        <v>3694.8899999999994</v>
      </c>
      <c r="M411" s="225"/>
      <c r="N411" s="186"/>
      <c r="O411" s="293">
        <f t="shared" si="136"/>
        <v>3694.8899999999994</v>
      </c>
      <c r="P411" s="323"/>
      <c r="Q411" s="329">
        <f t="shared" si="137"/>
        <v>3694.8899999999994</v>
      </c>
      <c r="R411" s="345">
        <v>3694.89</v>
      </c>
      <c r="S411" s="338">
        <f t="shared" si="128"/>
        <v>100.00000000000003</v>
      </c>
    </row>
    <row r="412" spans="1:19" ht="12.75" hidden="1">
      <c r="A412" s="22" t="s">
        <v>312</v>
      </c>
      <c r="B412" s="60">
        <v>3400</v>
      </c>
      <c r="C412" s="79"/>
      <c r="D412" s="186"/>
      <c r="E412" s="157"/>
      <c r="F412" s="78">
        <f t="shared" si="133"/>
        <v>0</v>
      </c>
      <c r="G412" s="142"/>
      <c r="H412" s="210"/>
      <c r="I412" s="124">
        <f t="shared" si="134"/>
        <v>0</v>
      </c>
      <c r="J412" s="142"/>
      <c r="K412" s="231"/>
      <c r="L412" s="279">
        <f t="shared" si="135"/>
        <v>0</v>
      </c>
      <c r="M412" s="225"/>
      <c r="N412" s="186"/>
      <c r="O412" s="293">
        <f t="shared" si="136"/>
        <v>0</v>
      </c>
      <c r="P412" s="323"/>
      <c r="Q412" s="329">
        <f t="shared" si="137"/>
        <v>0</v>
      </c>
      <c r="R412" s="345"/>
      <c r="S412" s="338" t="e">
        <f t="shared" si="128"/>
        <v>#DIV/0!</v>
      </c>
    </row>
    <row r="413" spans="1:19" ht="12.75" hidden="1">
      <c r="A413" s="22" t="s">
        <v>256</v>
      </c>
      <c r="B413" s="60">
        <v>3400</v>
      </c>
      <c r="C413" s="79"/>
      <c r="D413" s="186"/>
      <c r="E413" s="157"/>
      <c r="F413" s="78">
        <f t="shared" si="133"/>
        <v>0</v>
      </c>
      <c r="G413" s="142"/>
      <c r="H413" s="210"/>
      <c r="I413" s="124">
        <f t="shared" si="134"/>
        <v>0</v>
      </c>
      <c r="J413" s="142"/>
      <c r="K413" s="231"/>
      <c r="L413" s="279">
        <f t="shared" si="135"/>
        <v>0</v>
      </c>
      <c r="M413" s="225"/>
      <c r="N413" s="186"/>
      <c r="O413" s="293">
        <f t="shared" si="136"/>
        <v>0</v>
      </c>
      <c r="P413" s="323"/>
      <c r="Q413" s="329">
        <f t="shared" si="137"/>
        <v>0</v>
      </c>
      <c r="R413" s="345"/>
      <c r="S413" s="338" t="e">
        <f t="shared" si="128"/>
        <v>#DIV/0!</v>
      </c>
    </row>
    <row r="414" spans="1:19" ht="12.75" hidden="1">
      <c r="A414" s="22" t="s">
        <v>313</v>
      </c>
      <c r="B414" s="60">
        <v>4700</v>
      </c>
      <c r="C414" s="79"/>
      <c r="D414" s="186"/>
      <c r="E414" s="157"/>
      <c r="F414" s="78">
        <f t="shared" si="133"/>
        <v>0</v>
      </c>
      <c r="G414" s="142"/>
      <c r="H414" s="210"/>
      <c r="I414" s="124">
        <f t="shared" si="134"/>
        <v>0</v>
      </c>
      <c r="J414" s="142"/>
      <c r="K414" s="231"/>
      <c r="L414" s="279">
        <f t="shared" si="135"/>
        <v>0</v>
      </c>
      <c r="M414" s="225"/>
      <c r="N414" s="186"/>
      <c r="O414" s="293">
        <f t="shared" si="136"/>
        <v>0</v>
      </c>
      <c r="P414" s="323"/>
      <c r="Q414" s="329">
        <f t="shared" si="137"/>
        <v>0</v>
      </c>
      <c r="R414" s="345"/>
      <c r="S414" s="338" t="e">
        <f t="shared" si="128"/>
        <v>#DIV/0!</v>
      </c>
    </row>
    <row r="415" spans="1:19" ht="12.75" hidden="1">
      <c r="A415" s="22" t="s">
        <v>250</v>
      </c>
      <c r="B415" s="60">
        <v>4700</v>
      </c>
      <c r="C415" s="79"/>
      <c r="D415" s="186"/>
      <c r="E415" s="157"/>
      <c r="F415" s="78">
        <f t="shared" si="133"/>
        <v>0</v>
      </c>
      <c r="G415" s="142"/>
      <c r="H415" s="210"/>
      <c r="I415" s="124">
        <f t="shared" si="134"/>
        <v>0</v>
      </c>
      <c r="J415" s="142"/>
      <c r="K415" s="231"/>
      <c r="L415" s="279">
        <f t="shared" si="135"/>
        <v>0</v>
      </c>
      <c r="M415" s="225"/>
      <c r="N415" s="186"/>
      <c r="O415" s="293">
        <f t="shared" si="136"/>
        <v>0</v>
      </c>
      <c r="P415" s="323"/>
      <c r="Q415" s="329">
        <f t="shared" si="137"/>
        <v>0</v>
      </c>
      <c r="R415" s="345"/>
      <c r="S415" s="338" t="e">
        <f t="shared" si="128"/>
        <v>#DIV/0!</v>
      </c>
    </row>
    <row r="416" spans="1:19" ht="12.75">
      <c r="A416" s="61" t="s">
        <v>413</v>
      </c>
      <c r="B416" s="60">
        <v>4300</v>
      </c>
      <c r="C416" s="79"/>
      <c r="D416" s="186"/>
      <c r="E416" s="157"/>
      <c r="F416" s="78">
        <f t="shared" si="133"/>
        <v>0</v>
      </c>
      <c r="G416" s="142">
        <f>4069.18</f>
        <v>4069.18</v>
      </c>
      <c r="H416" s="210"/>
      <c r="I416" s="124">
        <f t="shared" si="134"/>
        <v>4069.18</v>
      </c>
      <c r="J416" s="142"/>
      <c r="K416" s="231"/>
      <c r="L416" s="279">
        <f t="shared" si="135"/>
        <v>4069.18</v>
      </c>
      <c r="M416" s="225"/>
      <c r="N416" s="186"/>
      <c r="O416" s="293">
        <f t="shared" si="136"/>
        <v>4069.18</v>
      </c>
      <c r="P416" s="323">
        <f>766.92</f>
        <v>766.92</v>
      </c>
      <c r="Q416" s="329">
        <f t="shared" si="137"/>
        <v>4836.099999999999</v>
      </c>
      <c r="R416" s="345">
        <f>2153.15+2.4</f>
        <v>2155.55</v>
      </c>
      <c r="S416" s="338">
        <f t="shared" si="128"/>
        <v>44.57207253778872</v>
      </c>
    </row>
    <row r="417" spans="1:19" ht="12.75" hidden="1">
      <c r="A417" s="13" t="s">
        <v>314</v>
      </c>
      <c r="B417" s="60">
        <v>4602</v>
      </c>
      <c r="C417" s="79"/>
      <c r="D417" s="186"/>
      <c r="E417" s="157"/>
      <c r="F417" s="78">
        <f t="shared" si="133"/>
        <v>0</v>
      </c>
      <c r="G417" s="142"/>
      <c r="H417" s="210"/>
      <c r="I417" s="124">
        <f t="shared" si="134"/>
        <v>0</v>
      </c>
      <c r="J417" s="142"/>
      <c r="K417" s="231"/>
      <c r="L417" s="279">
        <f t="shared" si="135"/>
        <v>0</v>
      </c>
      <c r="M417" s="225"/>
      <c r="N417" s="186"/>
      <c r="O417" s="293">
        <f t="shared" si="136"/>
        <v>0</v>
      </c>
      <c r="P417" s="323"/>
      <c r="Q417" s="329">
        <f t="shared" si="137"/>
        <v>0</v>
      </c>
      <c r="R417" s="345"/>
      <c r="S417" s="338" t="e">
        <f t="shared" si="128"/>
        <v>#DIV/0!</v>
      </c>
    </row>
    <row r="418" spans="1:19" ht="12.75">
      <c r="A418" s="13" t="s">
        <v>412</v>
      </c>
      <c r="B418" s="60">
        <v>3100</v>
      </c>
      <c r="C418" s="79"/>
      <c r="D418" s="186">
        <f>4027.7+528.53</f>
        <v>4556.23</v>
      </c>
      <c r="E418" s="157"/>
      <c r="F418" s="78">
        <f t="shared" si="133"/>
        <v>4556.23</v>
      </c>
      <c r="G418" s="142">
        <f>255.21</f>
        <v>255.21</v>
      </c>
      <c r="H418" s="210"/>
      <c r="I418" s="124">
        <f t="shared" si="134"/>
        <v>4811.44</v>
      </c>
      <c r="J418" s="142">
        <f>-528.46</f>
        <v>-528.46</v>
      </c>
      <c r="K418" s="231"/>
      <c r="L418" s="279">
        <f t="shared" si="135"/>
        <v>4282.98</v>
      </c>
      <c r="M418" s="225"/>
      <c r="N418" s="186"/>
      <c r="O418" s="293">
        <f t="shared" si="136"/>
        <v>4282.98</v>
      </c>
      <c r="P418" s="323"/>
      <c r="Q418" s="329">
        <f t="shared" si="137"/>
        <v>4282.98</v>
      </c>
      <c r="R418" s="345">
        <v>4282.98</v>
      </c>
      <c r="S418" s="338">
        <f t="shared" si="128"/>
        <v>100</v>
      </c>
    </row>
    <row r="419" spans="1:19" ht="12.75">
      <c r="A419" s="13" t="s">
        <v>372</v>
      </c>
      <c r="B419" s="60">
        <v>5000</v>
      </c>
      <c r="C419" s="79"/>
      <c r="D419" s="186">
        <f>101069.51</f>
        <v>101069.51</v>
      </c>
      <c r="E419" s="157"/>
      <c r="F419" s="78">
        <f t="shared" si="133"/>
        <v>101069.51</v>
      </c>
      <c r="G419" s="142"/>
      <c r="H419" s="210"/>
      <c r="I419" s="124">
        <f t="shared" si="134"/>
        <v>101069.51</v>
      </c>
      <c r="J419" s="142"/>
      <c r="K419" s="231"/>
      <c r="L419" s="279">
        <f t="shared" si="135"/>
        <v>101069.51</v>
      </c>
      <c r="M419" s="225"/>
      <c r="N419" s="186"/>
      <c r="O419" s="293">
        <f t="shared" si="136"/>
        <v>101069.51</v>
      </c>
      <c r="P419" s="323"/>
      <c r="Q419" s="366">
        <f>O419+P419+218.1</f>
        <v>101287.61</v>
      </c>
      <c r="R419" s="363">
        <v>96197.76</v>
      </c>
      <c r="S419" s="338">
        <f t="shared" si="128"/>
        <v>94.97485427882047</v>
      </c>
    </row>
    <row r="420" spans="1:19" ht="12.75" hidden="1">
      <c r="A420" s="13" t="s">
        <v>372</v>
      </c>
      <c r="B420" s="60">
        <v>5000</v>
      </c>
      <c r="C420" s="79"/>
      <c r="D420" s="186"/>
      <c r="E420" s="157"/>
      <c r="F420" s="78">
        <f t="shared" si="133"/>
        <v>0</v>
      </c>
      <c r="G420" s="142"/>
      <c r="H420" s="210"/>
      <c r="I420" s="124">
        <f t="shared" si="134"/>
        <v>0</v>
      </c>
      <c r="J420" s="142">
        <f>47535.18</f>
        <v>47535.18</v>
      </c>
      <c r="K420" s="231"/>
      <c r="L420" s="279">
        <f t="shared" si="135"/>
        <v>47535.18</v>
      </c>
      <c r="M420" s="225"/>
      <c r="N420" s="186"/>
      <c r="O420" s="293">
        <f t="shared" si="136"/>
        <v>47535.18</v>
      </c>
      <c r="P420" s="323">
        <f>-47317.08</f>
        <v>-47317.08</v>
      </c>
      <c r="Q420" s="362"/>
      <c r="R420" s="345"/>
      <c r="S420" s="338" t="e">
        <f t="shared" si="128"/>
        <v>#DIV/0!</v>
      </c>
    </row>
    <row r="421" spans="1:19" ht="12.75">
      <c r="A421" s="22" t="s">
        <v>371</v>
      </c>
      <c r="B421" s="60"/>
      <c r="C421" s="79"/>
      <c r="D421" s="186"/>
      <c r="E421" s="157"/>
      <c r="F421" s="78"/>
      <c r="G421" s="142"/>
      <c r="H421" s="210"/>
      <c r="I421" s="124">
        <f t="shared" si="134"/>
        <v>0</v>
      </c>
      <c r="J421" s="142">
        <f>6711.67</f>
        <v>6711.67</v>
      </c>
      <c r="K421" s="231"/>
      <c r="L421" s="279">
        <f t="shared" si="135"/>
        <v>6711.67</v>
      </c>
      <c r="M421" s="225"/>
      <c r="N421" s="186"/>
      <c r="O421" s="293">
        <f t="shared" si="136"/>
        <v>6711.67</v>
      </c>
      <c r="P421" s="323"/>
      <c r="Q421" s="329">
        <f t="shared" si="137"/>
        <v>6711.67</v>
      </c>
      <c r="R421" s="345">
        <v>201.93</v>
      </c>
      <c r="S421" s="338">
        <f t="shared" si="128"/>
        <v>3.008640174502024</v>
      </c>
    </row>
    <row r="422" spans="1:19" ht="12.75">
      <c r="A422" s="61" t="s">
        <v>385</v>
      </c>
      <c r="B422" s="60">
        <v>13016</v>
      </c>
      <c r="C422" s="79"/>
      <c r="D422" s="186"/>
      <c r="E422" s="157"/>
      <c r="F422" s="78"/>
      <c r="G422" s="142"/>
      <c r="H422" s="210"/>
      <c r="I422" s="124"/>
      <c r="J422" s="142"/>
      <c r="K422" s="231"/>
      <c r="L422" s="279"/>
      <c r="M422" s="225"/>
      <c r="N422" s="186"/>
      <c r="O422" s="293">
        <f t="shared" si="136"/>
        <v>0</v>
      </c>
      <c r="P422" s="323">
        <f>1176</f>
        <v>1176</v>
      </c>
      <c r="Q422" s="329">
        <f t="shared" si="137"/>
        <v>1176</v>
      </c>
      <c r="R422" s="345">
        <v>1176</v>
      </c>
      <c r="S422" s="338">
        <f t="shared" si="128"/>
        <v>100</v>
      </c>
    </row>
    <row r="423" spans="1:19" ht="12.75">
      <c r="A423" s="61" t="s">
        <v>290</v>
      </c>
      <c r="B423" s="60">
        <v>13305</v>
      </c>
      <c r="C423" s="79"/>
      <c r="D423" s="186">
        <f>453999</f>
        <v>453999</v>
      </c>
      <c r="E423" s="157"/>
      <c r="F423" s="78">
        <f t="shared" si="133"/>
        <v>453999</v>
      </c>
      <c r="G423" s="142"/>
      <c r="H423" s="210"/>
      <c r="I423" s="124">
        <f t="shared" si="134"/>
        <v>453999</v>
      </c>
      <c r="J423" s="142">
        <f>17472+14312</f>
        <v>31784</v>
      </c>
      <c r="K423" s="231"/>
      <c r="L423" s="279">
        <f t="shared" si="135"/>
        <v>485783</v>
      </c>
      <c r="M423" s="225"/>
      <c r="N423" s="186"/>
      <c r="O423" s="293">
        <f t="shared" si="136"/>
        <v>485783</v>
      </c>
      <c r="P423" s="323"/>
      <c r="Q423" s="329">
        <f t="shared" si="137"/>
        <v>485783</v>
      </c>
      <c r="R423" s="345">
        <v>485783</v>
      </c>
      <c r="S423" s="338">
        <f t="shared" si="128"/>
        <v>100</v>
      </c>
    </row>
    <row r="424" spans="1:19" ht="12.75">
      <c r="A424" s="13" t="s">
        <v>116</v>
      </c>
      <c r="B424" s="60">
        <v>13307</v>
      </c>
      <c r="C424" s="79"/>
      <c r="D424" s="186">
        <f>2500</f>
        <v>2500</v>
      </c>
      <c r="E424" s="157"/>
      <c r="F424" s="78">
        <f t="shared" si="133"/>
        <v>2500</v>
      </c>
      <c r="G424" s="142"/>
      <c r="H424" s="210"/>
      <c r="I424" s="124">
        <f>F424+G424+H424</f>
        <v>2500</v>
      </c>
      <c r="J424" s="142">
        <f>2500</f>
        <v>2500</v>
      </c>
      <c r="K424" s="231"/>
      <c r="L424" s="279">
        <f t="shared" si="135"/>
        <v>5000</v>
      </c>
      <c r="M424" s="225">
        <f>900</f>
        <v>900</v>
      </c>
      <c r="N424" s="186"/>
      <c r="O424" s="293">
        <f>L424+M424+N424</f>
        <v>5900</v>
      </c>
      <c r="P424" s="323"/>
      <c r="Q424" s="329">
        <f t="shared" si="137"/>
        <v>5900</v>
      </c>
      <c r="R424" s="345">
        <v>5900</v>
      </c>
      <c r="S424" s="338">
        <f t="shared" si="128"/>
        <v>100</v>
      </c>
    </row>
    <row r="425" spans="1:19" ht="12.75">
      <c r="A425" s="13" t="s">
        <v>352</v>
      </c>
      <c r="B425" s="60">
        <v>14018</v>
      </c>
      <c r="C425" s="79"/>
      <c r="D425" s="186"/>
      <c r="E425" s="157"/>
      <c r="F425" s="78">
        <f t="shared" si="133"/>
        <v>0</v>
      </c>
      <c r="G425" s="142">
        <f>386</f>
        <v>386</v>
      </c>
      <c r="H425" s="210"/>
      <c r="I425" s="124">
        <f>F425+G425+H425</f>
        <v>386</v>
      </c>
      <c r="J425" s="142"/>
      <c r="K425" s="231"/>
      <c r="L425" s="279">
        <f t="shared" si="135"/>
        <v>386</v>
      </c>
      <c r="M425" s="225"/>
      <c r="N425" s="186"/>
      <c r="O425" s="293">
        <f>L425+M425+N425</f>
        <v>386</v>
      </c>
      <c r="P425" s="323"/>
      <c r="Q425" s="329">
        <f t="shared" si="137"/>
        <v>386</v>
      </c>
      <c r="R425" s="345">
        <v>386</v>
      </c>
      <c r="S425" s="338">
        <f t="shared" si="128"/>
        <v>100</v>
      </c>
    </row>
    <row r="426" spans="1:19" ht="12.75">
      <c r="A426" s="22" t="s">
        <v>196</v>
      </c>
      <c r="B426" s="60">
        <v>4359</v>
      </c>
      <c r="C426" s="79"/>
      <c r="D426" s="186"/>
      <c r="E426" s="157"/>
      <c r="F426" s="78">
        <f t="shared" si="133"/>
        <v>0</v>
      </c>
      <c r="G426" s="142">
        <f>70</f>
        <v>70</v>
      </c>
      <c r="H426" s="210"/>
      <c r="I426" s="124">
        <f>F426+G426+H426</f>
        <v>70</v>
      </c>
      <c r="J426" s="142"/>
      <c r="K426" s="231"/>
      <c r="L426" s="279">
        <f t="shared" si="135"/>
        <v>70</v>
      </c>
      <c r="M426" s="225"/>
      <c r="N426" s="186"/>
      <c r="O426" s="293">
        <f>L426+M426+N426</f>
        <v>70</v>
      </c>
      <c r="P426" s="323"/>
      <c r="Q426" s="329">
        <f t="shared" si="137"/>
        <v>70</v>
      </c>
      <c r="R426" s="345">
        <v>70</v>
      </c>
      <c r="S426" s="338">
        <f t="shared" si="128"/>
        <v>100</v>
      </c>
    </row>
    <row r="427" spans="1:19" ht="12.75">
      <c r="A427" s="16" t="s">
        <v>92</v>
      </c>
      <c r="B427" s="63" t="s">
        <v>338</v>
      </c>
      <c r="C427" s="86"/>
      <c r="D427" s="193">
        <f>159.57+5915-163.6</f>
        <v>5910.969999999999</v>
      </c>
      <c r="E427" s="161"/>
      <c r="F427" s="112">
        <f t="shared" si="133"/>
        <v>5910.969999999999</v>
      </c>
      <c r="G427" s="136">
        <f>250</f>
        <v>250</v>
      </c>
      <c r="H427" s="215"/>
      <c r="I427" s="129">
        <f>F427+G427+H427</f>
        <v>6160.969999999999</v>
      </c>
      <c r="J427" s="136">
        <f>150+602.98</f>
        <v>752.98</v>
      </c>
      <c r="K427" s="233"/>
      <c r="L427" s="315">
        <f t="shared" si="135"/>
        <v>6913.949999999999</v>
      </c>
      <c r="M427" s="274"/>
      <c r="N427" s="193"/>
      <c r="O427" s="295">
        <f>L427+M427+N427</f>
        <v>6913.949999999999</v>
      </c>
      <c r="P427" s="326"/>
      <c r="Q427" s="330">
        <f t="shared" si="137"/>
        <v>6913.949999999999</v>
      </c>
      <c r="R427" s="351">
        <f>5790.1+0.13</f>
        <v>5790.2300000000005</v>
      </c>
      <c r="S427" s="340">
        <f t="shared" si="128"/>
        <v>83.74706209908955</v>
      </c>
    </row>
    <row r="428" spans="1:19" ht="12.75" hidden="1">
      <c r="A428" s="19" t="s">
        <v>65</v>
      </c>
      <c r="B428" s="64"/>
      <c r="C428" s="84">
        <f>SUM(C430:C432)</f>
        <v>0</v>
      </c>
      <c r="D428" s="191">
        <f>SUM(D430:D432)</f>
        <v>0</v>
      </c>
      <c r="E428" s="160">
        <f>SUM(E430:E432)</f>
        <v>0</v>
      </c>
      <c r="F428" s="85">
        <f>SUM(F430:F432)</f>
        <v>0</v>
      </c>
      <c r="G428" s="146"/>
      <c r="H428" s="214"/>
      <c r="I428" s="127">
        <f>SUM(I430:I432)</f>
        <v>0</v>
      </c>
      <c r="J428" s="146"/>
      <c r="K428" s="235"/>
      <c r="L428" s="282">
        <f>SUM(L430:L432)</f>
        <v>0</v>
      </c>
      <c r="M428" s="273"/>
      <c r="N428" s="191"/>
      <c r="O428" s="296">
        <f>SUM(O430:O432)</f>
        <v>0</v>
      </c>
      <c r="P428" s="84"/>
      <c r="Q428" s="85">
        <f>SUM(Q430:Q432)</f>
        <v>0</v>
      </c>
      <c r="R428" s="345"/>
      <c r="S428" s="338" t="e">
        <f t="shared" si="128"/>
        <v>#DIV/0!</v>
      </c>
    </row>
    <row r="429" spans="1:19" ht="12.75" hidden="1">
      <c r="A429" s="15" t="s">
        <v>31</v>
      </c>
      <c r="B429" s="60"/>
      <c r="C429" s="79"/>
      <c r="D429" s="186"/>
      <c r="E429" s="157"/>
      <c r="F429" s="78"/>
      <c r="G429" s="142"/>
      <c r="H429" s="210"/>
      <c r="I429" s="124"/>
      <c r="J429" s="142"/>
      <c r="K429" s="231"/>
      <c r="L429" s="279"/>
      <c r="M429" s="225"/>
      <c r="N429" s="186"/>
      <c r="O429" s="293"/>
      <c r="P429" s="323"/>
      <c r="Q429" s="329"/>
      <c r="R429" s="345"/>
      <c r="S429" s="338" t="e">
        <f t="shared" si="128"/>
        <v>#DIV/0!</v>
      </c>
    </row>
    <row r="430" spans="1:19" ht="12.75" hidden="1">
      <c r="A430" s="13" t="s">
        <v>106</v>
      </c>
      <c r="B430" s="60"/>
      <c r="C430" s="79"/>
      <c r="D430" s="186"/>
      <c r="E430" s="157"/>
      <c r="F430" s="78">
        <f>C430+D430+E430</f>
        <v>0</v>
      </c>
      <c r="G430" s="142"/>
      <c r="H430" s="210"/>
      <c r="I430" s="124">
        <f>F430+G430+H430</f>
        <v>0</v>
      </c>
      <c r="J430" s="142"/>
      <c r="K430" s="231"/>
      <c r="L430" s="279">
        <f>I430+J430+K430</f>
        <v>0</v>
      </c>
      <c r="M430" s="225"/>
      <c r="N430" s="186"/>
      <c r="O430" s="293">
        <f>L430+M430+N430</f>
        <v>0</v>
      </c>
      <c r="P430" s="323"/>
      <c r="Q430" s="329">
        <f>O430+P430</f>
        <v>0</v>
      </c>
      <c r="R430" s="345"/>
      <c r="S430" s="338" t="e">
        <f t="shared" si="128"/>
        <v>#DIV/0!</v>
      </c>
    </row>
    <row r="431" spans="1:19" ht="12.75" hidden="1">
      <c r="A431" s="13" t="s">
        <v>66</v>
      </c>
      <c r="B431" s="60"/>
      <c r="C431" s="79"/>
      <c r="D431" s="186"/>
      <c r="E431" s="157"/>
      <c r="F431" s="78">
        <f>C431+D431+E431</f>
        <v>0</v>
      </c>
      <c r="G431" s="142"/>
      <c r="H431" s="210"/>
      <c r="I431" s="124"/>
      <c r="J431" s="142"/>
      <c r="K431" s="231"/>
      <c r="L431" s="279">
        <f>I431+J431+K431</f>
        <v>0</v>
      </c>
      <c r="M431" s="225"/>
      <c r="N431" s="186"/>
      <c r="O431" s="293">
        <f>L431+M431+N431</f>
        <v>0</v>
      </c>
      <c r="P431" s="323"/>
      <c r="Q431" s="329">
        <f>O431+P431</f>
        <v>0</v>
      </c>
      <c r="R431" s="345"/>
      <c r="S431" s="338" t="e">
        <f t="shared" si="128"/>
        <v>#DIV/0!</v>
      </c>
    </row>
    <row r="432" spans="1:19" ht="12.75" hidden="1">
      <c r="A432" s="16" t="s">
        <v>92</v>
      </c>
      <c r="B432" s="63"/>
      <c r="C432" s="86"/>
      <c r="D432" s="193"/>
      <c r="E432" s="161"/>
      <c r="F432" s="112">
        <f>C432+D432+E432</f>
        <v>0</v>
      </c>
      <c r="G432" s="136"/>
      <c r="H432" s="215"/>
      <c r="I432" s="129">
        <f>F432+G432+H432</f>
        <v>0</v>
      </c>
      <c r="J432" s="142"/>
      <c r="K432" s="231"/>
      <c r="L432" s="279">
        <f>I432+J432+K432</f>
        <v>0</v>
      </c>
      <c r="M432" s="225"/>
      <c r="N432" s="186"/>
      <c r="O432" s="293">
        <f>L432+M432+N432</f>
        <v>0</v>
      </c>
      <c r="P432" s="323"/>
      <c r="Q432" s="329">
        <f>O432+P432</f>
        <v>0</v>
      </c>
      <c r="R432" s="345"/>
      <c r="S432" s="338" t="e">
        <f t="shared" si="128"/>
        <v>#DIV/0!</v>
      </c>
    </row>
    <row r="433" spans="1:19" ht="12.75">
      <c r="A433" s="14" t="s">
        <v>249</v>
      </c>
      <c r="B433" s="64"/>
      <c r="C433" s="75">
        <f aca="true" t="shared" si="138" ref="C433:N433">C434+C446</f>
        <v>60860</v>
      </c>
      <c r="D433" s="185">
        <f t="shared" si="138"/>
        <v>9132.98</v>
      </c>
      <c r="E433" s="156">
        <f t="shared" si="138"/>
        <v>2350</v>
      </c>
      <c r="F433" s="77">
        <f t="shared" si="138"/>
        <v>72342.98</v>
      </c>
      <c r="G433" s="75">
        <f t="shared" si="138"/>
        <v>6563.47</v>
      </c>
      <c r="H433" s="185">
        <f t="shared" si="138"/>
        <v>0</v>
      </c>
      <c r="I433" s="77">
        <f t="shared" si="138"/>
        <v>78906.45</v>
      </c>
      <c r="J433" s="141">
        <f t="shared" si="138"/>
        <v>-860.6300000000001</v>
      </c>
      <c r="K433" s="230">
        <f t="shared" si="138"/>
        <v>0</v>
      </c>
      <c r="L433" s="217">
        <f t="shared" si="138"/>
        <v>78045.82</v>
      </c>
      <c r="M433" s="230">
        <f t="shared" si="138"/>
        <v>379.55999999999995</v>
      </c>
      <c r="N433" s="209">
        <f t="shared" si="138"/>
        <v>0</v>
      </c>
      <c r="O433" s="228">
        <f>O434+O446</f>
        <v>78425.38</v>
      </c>
      <c r="P433" s="75">
        <f>P434+P446</f>
        <v>0</v>
      </c>
      <c r="Q433" s="77">
        <f>Q434+Q446</f>
        <v>78425.38</v>
      </c>
      <c r="R433" s="346">
        <f>R434+R446</f>
        <v>77294</v>
      </c>
      <c r="S433" s="337">
        <f t="shared" si="128"/>
        <v>98.55738027664003</v>
      </c>
    </row>
    <row r="434" spans="1:19" ht="12.75">
      <c r="A434" s="19" t="s">
        <v>59</v>
      </c>
      <c r="B434" s="64"/>
      <c r="C434" s="84">
        <f aca="true" t="shared" si="139" ref="C434:O434">SUM(C436:C445)</f>
        <v>60860</v>
      </c>
      <c r="D434" s="191">
        <f t="shared" si="139"/>
        <v>2681.98</v>
      </c>
      <c r="E434" s="160">
        <f t="shared" si="139"/>
        <v>2350</v>
      </c>
      <c r="F434" s="85">
        <f t="shared" si="139"/>
        <v>65891.98</v>
      </c>
      <c r="G434" s="84">
        <f t="shared" si="139"/>
        <v>1563.47</v>
      </c>
      <c r="H434" s="191">
        <f t="shared" si="139"/>
        <v>0</v>
      </c>
      <c r="I434" s="85">
        <f t="shared" si="139"/>
        <v>67455.45</v>
      </c>
      <c r="J434" s="146">
        <f t="shared" si="139"/>
        <v>-860.6300000000001</v>
      </c>
      <c r="K434" s="235">
        <f t="shared" si="139"/>
        <v>0</v>
      </c>
      <c r="L434" s="282">
        <f t="shared" si="139"/>
        <v>66594.82</v>
      </c>
      <c r="M434" s="235">
        <f t="shared" si="139"/>
        <v>379.55999999999995</v>
      </c>
      <c r="N434" s="214">
        <f t="shared" si="139"/>
        <v>0</v>
      </c>
      <c r="O434" s="244">
        <f t="shared" si="139"/>
        <v>66974.38</v>
      </c>
      <c r="P434" s="84">
        <f>SUM(P436:P445)</f>
        <v>0</v>
      </c>
      <c r="Q434" s="85">
        <f>SUM(Q436:Q445)</f>
        <v>66974.38</v>
      </c>
      <c r="R434" s="349">
        <f>SUM(R436:R445)</f>
        <v>65844</v>
      </c>
      <c r="S434" s="344">
        <f t="shared" si="128"/>
        <v>98.3122202848313</v>
      </c>
    </row>
    <row r="435" spans="1:19" ht="12.75">
      <c r="A435" s="15" t="s">
        <v>31</v>
      </c>
      <c r="B435" s="60"/>
      <c r="C435" s="79"/>
      <c r="D435" s="186"/>
      <c r="E435" s="157"/>
      <c r="F435" s="77"/>
      <c r="G435" s="142"/>
      <c r="H435" s="210"/>
      <c r="I435" s="123"/>
      <c r="J435" s="142"/>
      <c r="K435" s="231"/>
      <c r="L435" s="217"/>
      <c r="M435" s="225"/>
      <c r="N435" s="186"/>
      <c r="O435" s="292"/>
      <c r="P435" s="323"/>
      <c r="Q435" s="329"/>
      <c r="R435" s="345"/>
      <c r="S435" s="338"/>
    </row>
    <row r="436" spans="1:19" ht="12.75">
      <c r="A436" s="13" t="s">
        <v>62</v>
      </c>
      <c r="B436" s="60"/>
      <c r="C436" s="79">
        <v>11350</v>
      </c>
      <c r="D436" s="186">
        <f>2.12+443.42+418+259.69-1100+158.75+1500</f>
        <v>1681.98</v>
      </c>
      <c r="E436" s="157"/>
      <c r="F436" s="78">
        <f aca="true" t="shared" si="140" ref="F436:F445">C436+D436+E436</f>
        <v>13031.98</v>
      </c>
      <c r="G436" s="142">
        <f>200+502.22+500+200-100</f>
        <v>1302.22</v>
      </c>
      <c r="H436" s="210"/>
      <c r="I436" s="124">
        <f aca="true" t="shared" si="141" ref="I436:I445">F436+G436+H436</f>
        <v>14334.199999999999</v>
      </c>
      <c r="J436" s="142">
        <f>457.8-158.75-350+29.5-1100+150-183.5</f>
        <v>-1154.95</v>
      </c>
      <c r="K436" s="231"/>
      <c r="L436" s="279">
        <f aca="true" t="shared" si="142" ref="L436:L442">I436+J436+K436</f>
        <v>13179.249999999998</v>
      </c>
      <c r="M436" s="225">
        <f>587.5-100+67.06-175</f>
        <v>379.55999999999995</v>
      </c>
      <c r="N436" s="186"/>
      <c r="O436" s="293">
        <f>L436+M436+N436</f>
        <v>13558.809999999998</v>
      </c>
      <c r="P436" s="323"/>
      <c r="Q436" s="329">
        <f>O436+P436</f>
        <v>13558.809999999998</v>
      </c>
      <c r="R436" s="345">
        <v>12517.63</v>
      </c>
      <c r="S436" s="338">
        <f t="shared" si="128"/>
        <v>92.32100752204656</v>
      </c>
    </row>
    <row r="437" spans="1:19" ht="12.75" hidden="1">
      <c r="A437" s="17" t="s">
        <v>291</v>
      </c>
      <c r="B437" s="60"/>
      <c r="C437" s="79"/>
      <c r="D437" s="186"/>
      <c r="E437" s="157"/>
      <c r="F437" s="78">
        <f t="shared" si="140"/>
        <v>0</v>
      </c>
      <c r="G437" s="142"/>
      <c r="H437" s="210"/>
      <c r="I437" s="124">
        <f t="shared" si="141"/>
        <v>0</v>
      </c>
      <c r="J437" s="142"/>
      <c r="K437" s="231"/>
      <c r="L437" s="279">
        <f t="shared" si="142"/>
        <v>0</v>
      </c>
      <c r="M437" s="225"/>
      <c r="N437" s="186"/>
      <c r="O437" s="293">
        <f aca="true" t="shared" si="143" ref="O437:O442">L437+M437+N437</f>
        <v>0</v>
      </c>
      <c r="P437" s="323"/>
      <c r="Q437" s="329">
        <f aca="true" t="shared" si="144" ref="Q437:Q442">O437+P437</f>
        <v>0</v>
      </c>
      <c r="R437" s="345"/>
      <c r="S437" s="338" t="e">
        <f t="shared" si="128"/>
        <v>#DIV/0!</v>
      </c>
    </row>
    <row r="438" spans="1:19" ht="12.75">
      <c r="A438" s="17" t="s">
        <v>292</v>
      </c>
      <c r="B438" s="60"/>
      <c r="C438" s="79">
        <v>48000</v>
      </c>
      <c r="D438" s="186">
        <f>1000</f>
        <v>1000</v>
      </c>
      <c r="E438" s="157"/>
      <c r="F438" s="78">
        <f t="shared" si="140"/>
        <v>49000</v>
      </c>
      <c r="G438" s="142"/>
      <c r="H438" s="210"/>
      <c r="I438" s="124">
        <f t="shared" si="141"/>
        <v>49000</v>
      </c>
      <c r="J438" s="142"/>
      <c r="K438" s="231"/>
      <c r="L438" s="279">
        <f t="shared" si="142"/>
        <v>49000</v>
      </c>
      <c r="M438" s="225"/>
      <c r="N438" s="186"/>
      <c r="O438" s="293">
        <f t="shared" si="143"/>
        <v>49000</v>
      </c>
      <c r="P438" s="323"/>
      <c r="Q438" s="329">
        <f t="shared" si="144"/>
        <v>49000</v>
      </c>
      <c r="R438" s="345">
        <v>49000</v>
      </c>
      <c r="S438" s="338">
        <f t="shared" si="128"/>
        <v>100</v>
      </c>
    </row>
    <row r="439" spans="1:19" ht="12.75">
      <c r="A439" s="17" t="s">
        <v>296</v>
      </c>
      <c r="B439" s="60"/>
      <c r="C439" s="79">
        <v>1510</v>
      </c>
      <c r="D439" s="187"/>
      <c r="E439" s="157"/>
      <c r="F439" s="78">
        <f t="shared" si="140"/>
        <v>1510</v>
      </c>
      <c r="G439" s="142">
        <f>-100</f>
        <v>-100</v>
      </c>
      <c r="H439" s="210"/>
      <c r="I439" s="124">
        <f t="shared" si="141"/>
        <v>1410</v>
      </c>
      <c r="J439" s="142"/>
      <c r="K439" s="231"/>
      <c r="L439" s="279">
        <f t="shared" si="142"/>
        <v>1410</v>
      </c>
      <c r="M439" s="225"/>
      <c r="N439" s="186"/>
      <c r="O439" s="293">
        <f t="shared" si="143"/>
        <v>1410</v>
      </c>
      <c r="P439" s="323"/>
      <c r="Q439" s="329">
        <f t="shared" si="144"/>
        <v>1410</v>
      </c>
      <c r="R439" s="345">
        <v>1360.8</v>
      </c>
      <c r="S439" s="338">
        <f t="shared" si="128"/>
        <v>96.51063829787235</v>
      </c>
    </row>
    <row r="440" spans="1:19" ht="12.75">
      <c r="A440" s="13" t="s">
        <v>365</v>
      </c>
      <c r="B440" s="60">
        <v>98035</v>
      </c>
      <c r="C440" s="79"/>
      <c r="D440" s="187"/>
      <c r="E440" s="157"/>
      <c r="F440" s="78"/>
      <c r="G440" s="142"/>
      <c r="H440" s="210"/>
      <c r="I440" s="124">
        <f t="shared" si="141"/>
        <v>0</v>
      </c>
      <c r="J440" s="142">
        <v>135.57</v>
      </c>
      <c r="K440" s="231"/>
      <c r="L440" s="279">
        <f t="shared" si="142"/>
        <v>135.57</v>
      </c>
      <c r="M440" s="225"/>
      <c r="N440" s="186"/>
      <c r="O440" s="293">
        <f t="shared" si="143"/>
        <v>135.57</v>
      </c>
      <c r="P440" s="323"/>
      <c r="Q440" s="329">
        <f t="shared" si="144"/>
        <v>135.57</v>
      </c>
      <c r="R440" s="345">
        <v>135.57</v>
      </c>
      <c r="S440" s="338">
        <f t="shared" si="128"/>
        <v>100</v>
      </c>
    </row>
    <row r="441" spans="1:19" ht="12.75">
      <c r="A441" s="13" t="s">
        <v>343</v>
      </c>
      <c r="B441" s="60">
        <v>33064</v>
      </c>
      <c r="C441" s="79"/>
      <c r="D441" s="187"/>
      <c r="E441" s="157"/>
      <c r="F441" s="78">
        <f t="shared" si="140"/>
        <v>0</v>
      </c>
      <c r="G441" s="142">
        <f>361.25</f>
        <v>361.25</v>
      </c>
      <c r="H441" s="210"/>
      <c r="I441" s="124">
        <f t="shared" si="141"/>
        <v>361.25</v>
      </c>
      <c r="J441" s="142"/>
      <c r="K441" s="231"/>
      <c r="L441" s="279">
        <f t="shared" si="142"/>
        <v>361.25</v>
      </c>
      <c r="M441" s="225"/>
      <c r="N441" s="186"/>
      <c r="O441" s="293">
        <f t="shared" si="143"/>
        <v>361.25</v>
      </c>
      <c r="P441" s="323"/>
      <c r="Q441" s="329">
        <f t="shared" si="144"/>
        <v>361.25</v>
      </c>
      <c r="R441" s="345">
        <v>334.55</v>
      </c>
      <c r="S441" s="338">
        <f t="shared" si="128"/>
        <v>92.60899653979239</v>
      </c>
    </row>
    <row r="442" spans="1:19" ht="12.75">
      <c r="A442" s="13" t="s">
        <v>92</v>
      </c>
      <c r="B442" s="60"/>
      <c r="C442" s="79"/>
      <c r="D442" s="187"/>
      <c r="E442" s="157">
        <f>2350</f>
        <v>2350</v>
      </c>
      <c r="F442" s="78">
        <f t="shared" si="140"/>
        <v>2350</v>
      </c>
      <c r="G442" s="142"/>
      <c r="H442" s="210"/>
      <c r="I442" s="124">
        <f t="shared" si="141"/>
        <v>2350</v>
      </c>
      <c r="J442" s="142">
        <f>158.75</f>
        <v>158.75</v>
      </c>
      <c r="K442" s="231"/>
      <c r="L442" s="279">
        <f t="shared" si="142"/>
        <v>2508.75</v>
      </c>
      <c r="M442" s="225"/>
      <c r="N442" s="186"/>
      <c r="O442" s="293">
        <f t="shared" si="143"/>
        <v>2508.75</v>
      </c>
      <c r="P442" s="323"/>
      <c r="Q442" s="329">
        <f t="shared" si="144"/>
        <v>2508.75</v>
      </c>
      <c r="R442" s="345">
        <v>2495.45</v>
      </c>
      <c r="S442" s="338">
        <f t="shared" si="128"/>
        <v>99.46985550572994</v>
      </c>
    </row>
    <row r="443" spans="1:19" ht="12.75" hidden="1">
      <c r="A443" s="13" t="s">
        <v>77</v>
      </c>
      <c r="B443" s="60"/>
      <c r="C443" s="79"/>
      <c r="D443" s="186"/>
      <c r="E443" s="157"/>
      <c r="F443" s="78">
        <f t="shared" si="140"/>
        <v>0</v>
      </c>
      <c r="G443" s="142"/>
      <c r="H443" s="210"/>
      <c r="I443" s="124">
        <f t="shared" si="141"/>
        <v>0</v>
      </c>
      <c r="J443" s="262"/>
      <c r="K443" s="231"/>
      <c r="L443" s="279">
        <f>I443+J443+K443</f>
        <v>0</v>
      </c>
      <c r="M443" s="225"/>
      <c r="N443" s="186"/>
      <c r="O443" s="293">
        <f>L443+M443+N443</f>
        <v>0</v>
      </c>
      <c r="P443" s="323"/>
      <c r="Q443" s="329">
        <f>O443+P443</f>
        <v>0</v>
      </c>
      <c r="R443" s="345"/>
      <c r="S443" s="338" t="e">
        <f t="shared" si="128"/>
        <v>#DIV/0!</v>
      </c>
    </row>
    <row r="444" spans="1:19" ht="12.75" hidden="1">
      <c r="A444" s="13" t="s">
        <v>208</v>
      </c>
      <c r="B444" s="60"/>
      <c r="C444" s="79"/>
      <c r="D444" s="186"/>
      <c r="E444" s="157"/>
      <c r="F444" s="78">
        <f t="shared" si="140"/>
        <v>0</v>
      </c>
      <c r="G444" s="142"/>
      <c r="H444" s="210"/>
      <c r="I444" s="124">
        <f t="shared" si="141"/>
        <v>0</v>
      </c>
      <c r="J444" s="262"/>
      <c r="K444" s="231"/>
      <c r="L444" s="279">
        <f>I444+J444+K444</f>
        <v>0</v>
      </c>
      <c r="M444" s="225"/>
      <c r="N444" s="186"/>
      <c r="O444" s="293">
        <f>L444+M444+N444</f>
        <v>0</v>
      </c>
      <c r="P444" s="323"/>
      <c r="Q444" s="329">
        <f>O444+P444</f>
        <v>0</v>
      </c>
      <c r="R444" s="345"/>
      <c r="S444" s="338" t="e">
        <f t="shared" si="128"/>
        <v>#DIV/0!</v>
      </c>
    </row>
    <row r="445" spans="1:19" ht="12.75" hidden="1">
      <c r="A445" s="13" t="s">
        <v>117</v>
      </c>
      <c r="B445" s="60">
        <v>14004</v>
      </c>
      <c r="C445" s="79"/>
      <c r="D445" s="186"/>
      <c r="E445" s="157"/>
      <c r="F445" s="78">
        <f t="shared" si="140"/>
        <v>0</v>
      </c>
      <c r="G445" s="142"/>
      <c r="H445" s="210"/>
      <c r="I445" s="124">
        <f t="shared" si="141"/>
        <v>0</v>
      </c>
      <c r="J445" s="142"/>
      <c r="K445" s="231"/>
      <c r="L445" s="279">
        <f>I445+J445+K445</f>
        <v>0</v>
      </c>
      <c r="M445" s="225"/>
      <c r="N445" s="186"/>
      <c r="O445" s="293">
        <f>L445+M445+N445</f>
        <v>0</v>
      </c>
      <c r="P445" s="323"/>
      <c r="Q445" s="329">
        <f>O445+P445</f>
        <v>0</v>
      </c>
      <c r="R445" s="345"/>
      <c r="S445" s="338" t="e">
        <f t="shared" si="128"/>
        <v>#DIV/0!</v>
      </c>
    </row>
    <row r="446" spans="1:19" ht="12.75">
      <c r="A446" s="19" t="s">
        <v>65</v>
      </c>
      <c r="B446" s="64"/>
      <c r="C446" s="84">
        <f aca="true" t="shared" si="145" ref="C446:R446">SUM(C448:C455)</f>
        <v>0</v>
      </c>
      <c r="D446" s="191">
        <f t="shared" si="145"/>
        <v>6451</v>
      </c>
      <c r="E446" s="160">
        <f t="shared" si="145"/>
        <v>0</v>
      </c>
      <c r="F446" s="85">
        <f t="shared" si="145"/>
        <v>6451</v>
      </c>
      <c r="G446" s="84">
        <f t="shared" si="145"/>
        <v>5000</v>
      </c>
      <c r="H446" s="191">
        <f t="shared" si="145"/>
        <v>0</v>
      </c>
      <c r="I446" s="85">
        <f t="shared" si="145"/>
        <v>11451</v>
      </c>
      <c r="J446" s="146">
        <f t="shared" si="145"/>
        <v>0</v>
      </c>
      <c r="K446" s="235">
        <f t="shared" si="145"/>
        <v>0</v>
      </c>
      <c r="L446" s="282">
        <f t="shared" si="145"/>
        <v>11451</v>
      </c>
      <c r="M446" s="235">
        <f t="shared" si="145"/>
        <v>0</v>
      </c>
      <c r="N446" s="214">
        <f t="shared" si="145"/>
        <v>0</v>
      </c>
      <c r="O446" s="244">
        <f t="shared" si="145"/>
        <v>11451</v>
      </c>
      <c r="P446" s="84">
        <f t="shared" si="145"/>
        <v>0</v>
      </c>
      <c r="Q446" s="85">
        <f t="shared" si="145"/>
        <v>11451</v>
      </c>
      <c r="R446" s="349">
        <f t="shared" si="145"/>
        <v>11450</v>
      </c>
      <c r="S446" s="344">
        <f t="shared" si="128"/>
        <v>99.9912671382412</v>
      </c>
    </row>
    <row r="447" spans="1:19" ht="12.75">
      <c r="A447" s="15" t="s">
        <v>31</v>
      </c>
      <c r="B447" s="60"/>
      <c r="C447" s="79"/>
      <c r="D447" s="186"/>
      <c r="E447" s="157"/>
      <c r="F447" s="78"/>
      <c r="G447" s="142"/>
      <c r="H447" s="210"/>
      <c r="I447" s="124"/>
      <c r="J447" s="142"/>
      <c r="K447" s="231"/>
      <c r="L447" s="279"/>
      <c r="M447" s="225"/>
      <c r="N447" s="186"/>
      <c r="O447" s="293"/>
      <c r="P447" s="323"/>
      <c r="Q447" s="329"/>
      <c r="R447" s="345"/>
      <c r="S447" s="338"/>
    </row>
    <row r="448" spans="1:19" ht="12.75" hidden="1">
      <c r="A448" s="17" t="s">
        <v>81</v>
      </c>
      <c r="B448" s="60"/>
      <c r="C448" s="79"/>
      <c r="D448" s="186"/>
      <c r="E448" s="157"/>
      <c r="F448" s="78">
        <f aca="true" t="shared" si="146" ref="F448:F455">C448+D448+E448</f>
        <v>0</v>
      </c>
      <c r="G448" s="142"/>
      <c r="H448" s="210"/>
      <c r="I448" s="124">
        <f>F448+G448+H448</f>
        <v>0</v>
      </c>
      <c r="J448" s="142"/>
      <c r="K448" s="231"/>
      <c r="L448" s="279">
        <f>I448+J448+K448</f>
        <v>0</v>
      </c>
      <c r="M448" s="225"/>
      <c r="N448" s="186"/>
      <c r="O448" s="293">
        <f>L448+M448+N448</f>
        <v>0</v>
      </c>
      <c r="P448" s="323"/>
      <c r="Q448" s="329">
        <f>O448+P448</f>
        <v>0</v>
      </c>
      <c r="R448" s="345"/>
      <c r="S448" s="338" t="e">
        <f t="shared" si="128"/>
        <v>#DIV/0!</v>
      </c>
    </row>
    <row r="449" spans="1:19" ht="12.75">
      <c r="A449" s="17" t="s">
        <v>287</v>
      </c>
      <c r="B449" s="60"/>
      <c r="C449" s="79"/>
      <c r="D449" s="186">
        <f>5000</f>
        <v>5000</v>
      </c>
      <c r="E449" s="157"/>
      <c r="F449" s="78">
        <f t="shared" si="146"/>
        <v>5000</v>
      </c>
      <c r="G449" s="142">
        <f>5000</f>
        <v>5000</v>
      </c>
      <c r="H449" s="210"/>
      <c r="I449" s="124">
        <f>F449+G449+H449</f>
        <v>10000</v>
      </c>
      <c r="J449" s="142"/>
      <c r="K449" s="231"/>
      <c r="L449" s="279">
        <f>I449+J449+K449</f>
        <v>10000</v>
      </c>
      <c r="M449" s="225"/>
      <c r="N449" s="186"/>
      <c r="O449" s="293">
        <f>L449+M449+N449</f>
        <v>10000</v>
      </c>
      <c r="P449" s="323"/>
      <c r="Q449" s="329">
        <f>O449+P449</f>
        <v>10000</v>
      </c>
      <c r="R449" s="345">
        <v>10000</v>
      </c>
      <c r="S449" s="338">
        <f t="shared" si="128"/>
        <v>100</v>
      </c>
    </row>
    <row r="450" spans="1:19" ht="12.75" hidden="1">
      <c r="A450" s="17" t="s">
        <v>266</v>
      </c>
      <c r="B450" s="60"/>
      <c r="C450" s="79"/>
      <c r="D450" s="186"/>
      <c r="E450" s="157"/>
      <c r="F450" s="78">
        <f t="shared" si="146"/>
        <v>0</v>
      </c>
      <c r="G450" s="142"/>
      <c r="H450" s="210"/>
      <c r="I450" s="124"/>
      <c r="J450" s="142"/>
      <c r="K450" s="231"/>
      <c r="L450" s="279"/>
      <c r="M450" s="225"/>
      <c r="N450" s="186"/>
      <c r="O450" s="293"/>
      <c r="P450" s="323"/>
      <c r="Q450" s="329"/>
      <c r="R450" s="345"/>
      <c r="S450" s="338" t="e">
        <f t="shared" si="128"/>
        <v>#DIV/0!</v>
      </c>
    </row>
    <row r="451" spans="1:19" ht="12.75" hidden="1">
      <c r="A451" s="17" t="s">
        <v>267</v>
      </c>
      <c r="B451" s="60"/>
      <c r="C451" s="79"/>
      <c r="D451" s="186"/>
      <c r="E451" s="157"/>
      <c r="F451" s="78">
        <f t="shared" si="146"/>
        <v>0</v>
      </c>
      <c r="G451" s="142"/>
      <c r="H451" s="210"/>
      <c r="I451" s="124"/>
      <c r="J451" s="142"/>
      <c r="K451" s="231"/>
      <c r="L451" s="279"/>
      <c r="M451" s="225"/>
      <c r="N451" s="186"/>
      <c r="O451" s="293"/>
      <c r="P451" s="323"/>
      <c r="Q451" s="329"/>
      <c r="R451" s="345"/>
      <c r="S451" s="338" t="e">
        <f t="shared" si="128"/>
        <v>#DIV/0!</v>
      </c>
    </row>
    <row r="452" spans="1:19" ht="12.75" hidden="1">
      <c r="A452" s="17" t="s">
        <v>251</v>
      </c>
      <c r="B452" s="60"/>
      <c r="C452" s="79"/>
      <c r="D452" s="186"/>
      <c r="E452" s="157"/>
      <c r="F452" s="78">
        <f t="shared" si="146"/>
        <v>0</v>
      </c>
      <c r="G452" s="142"/>
      <c r="H452" s="210"/>
      <c r="I452" s="124"/>
      <c r="J452" s="142"/>
      <c r="K452" s="231"/>
      <c r="L452" s="279"/>
      <c r="M452" s="225"/>
      <c r="N452" s="186"/>
      <c r="O452" s="293"/>
      <c r="P452" s="323"/>
      <c r="Q452" s="329"/>
      <c r="R452" s="345"/>
      <c r="S452" s="338" t="e">
        <f t="shared" si="128"/>
        <v>#DIV/0!</v>
      </c>
    </row>
    <row r="453" spans="1:19" ht="12.75">
      <c r="A453" s="16" t="s">
        <v>66</v>
      </c>
      <c r="B453" s="63"/>
      <c r="C453" s="86"/>
      <c r="D453" s="193">
        <f>351+1100</f>
        <v>1451</v>
      </c>
      <c r="E453" s="161"/>
      <c r="F453" s="112">
        <f t="shared" si="146"/>
        <v>1451</v>
      </c>
      <c r="G453" s="136"/>
      <c r="H453" s="215"/>
      <c r="I453" s="129">
        <f>F453+G453+H453</f>
        <v>1451</v>
      </c>
      <c r="J453" s="136"/>
      <c r="K453" s="233"/>
      <c r="L453" s="315">
        <f>I453+J453+K453</f>
        <v>1451</v>
      </c>
      <c r="M453" s="274"/>
      <c r="N453" s="193"/>
      <c r="O453" s="295">
        <f>L453+M453+N453</f>
        <v>1451</v>
      </c>
      <c r="P453" s="326"/>
      <c r="Q453" s="330">
        <f>O453+P453</f>
        <v>1451</v>
      </c>
      <c r="R453" s="351">
        <v>1450</v>
      </c>
      <c r="S453" s="340">
        <f t="shared" si="128"/>
        <v>99.93108201240524</v>
      </c>
    </row>
    <row r="454" spans="1:19" ht="12.75" hidden="1">
      <c r="A454" s="13" t="s">
        <v>92</v>
      </c>
      <c r="B454" s="60"/>
      <c r="C454" s="79"/>
      <c r="D454" s="186"/>
      <c r="E454" s="157"/>
      <c r="F454" s="78">
        <f t="shared" si="146"/>
        <v>0</v>
      </c>
      <c r="G454" s="142"/>
      <c r="H454" s="210"/>
      <c r="I454" s="124">
        <f>F454+G454+H454</f>
        <v>0</v>
      </c>
      <c r="J454" s="142"/>
      <c r="K454" s="231"/>
      <c r="L454" s="279">
        <f>I454+J454+K454</f>
        <v>0</v>
      </c>
      <c r="M454" s="225"/>
      <c r="N454" s="186"/>
      <c r="O454" s="293">
        <f>L454+M454+N454</f>
        <v>0</v>
      </c>
      <c r="P454" s="323"/>
      <c r="Q454" s="329">
        <f>O454+P454</f>
        <v>0</v>
      </c>
      <c r="R454" s="345"/>
      <c r="S454" s="338" t="e">
        <f t="shared" si="128"/>
        <v>#DIV/0!</v>
      </c>
    </row>
    <row r="455" spans="1:19" ht="12.75" hidden="1">
      <c r="A455" s="23" t="s">
        <v>252</v>
      </c>
      <c r="B455" s="63"/>
      <c r="C455" s="86"/>
      <c r="D455" s="193"/>
      <c r="E455" s="161"/>
      <c r="F455" s="112">
        <f t="shared" si="146"/>
        <v>0</v>
      </c>
      <c r="G455" s="136"/>
      <c r="H455" s="215"/>
      <c r="I455" s="129">
        <f>F455+G455+H455</f>
        <v>0</v>
      </c>
      <c r="J455" s="136"/>
      <c r="K455" s="233"/>
      <c r="L455" s="315">
        <f>I455+J455+K455</f>
        <v>0</v>
      </c>
      <c r="M455" s="274"/>
      <c r="N455" s="193"/>
      <c r="O455" s="295">
        <f>L455+M455+N455</f>
        <v>0</v>
      </c>
      <c r="P455" s="326"/>
      <c r="Q455" s="330">
        <f>O455+P455</f>
        <v>0</v>
      </c>
      <c r="R455" s="345"/>
      <c r="S455" s="338" t="e">
        <f t="shared" si="128"/>
        <v>#DIV/0!</v>
      </c>
    </row>
    <row r="456" spans="1:19" ht="12.75">
      <c r="A456" s="10" t="s">
        <v>118</v>
      </c>
      <c r="B456" s="64"/>
      <c r="C456" s="75">
        <f aca="true" t="shared" si="147" ref="C456:O456">C457+C460</f>
        <v>3304.9</v>
      </c>
      <c r="D456" s="185">
        <f t="shared" si="147"/>
        <v>0</v>
      </c>
      <c r="E456" s="156">
        <f t="shared" si="147"/>
        <v>0</v>
      </c>
      <c r="F456" s="77">
        <f t="shared" si="147"/>
        <v>3304.9</v>
      </c>
      <c r="G456" s="75">
        <f t="shared" si="147"/>
        <v>0</v>
      </c>
      <c r="H456" s="185">
        <f t="shared" si="147"/>
        <v>0</v>
      </c>
      <c r="I456" s="77">
        <f t="shared" si="147"/>
        <v>3304.9</v>
      </c>
      <c r="J456" s="141">
        <f t="shared" si="147"/>
        <v>0</v>
      </c>
      <c r="K456" s="230">
        <f t="shared" si="147"/>
        <v>0</v>
      </c>
      <c r="L456" s="217">
        <f t="shared" si="147"/>
        <v>3304.9</v>
      </c>
      <c r="M456" s="230">
        <f t="shared" si="147"/>
        <v>0</v>
      </c>
      <c r="N456" s="209">
        <f t="shared" si="147"/>
        <v>0</v>
      </c>
      <c r="O456" s="228">
        <f t="shared" si="147"/>
        <v>3304.9</v>
      </c>
      <c r="P456" s="75">
        <f>P457+P460</f>
        <v>0</v>
      </c>
      <c r="Q456" s="77">
        <f>Q457+Q460</f>
        <v>3304.9</v>
      </c>
      <c r="R456" s="346">
        <f>R457+R460</f>
        <v>1292.39</v>
      </c>
      <c r="S456" s="337">
        <f t="shared" si="128"/>
        <v>39.10526793548973</v>
      </c>
    </row>
    <row r="457" spans="1:19" ht="12.75">
      <c r="A457" s="19" t="s">
        <v>59</v>
      </c>
      <c r="B457" s="64"/>
      <c r="C457" s="84">
        <f aca="true" t="shared" si="148" ref="C457:O457">SUM(C459:C459)</f>
        <v>3304.9</v>
      </c>
      <c r="D457" s="191">
        <f t="shared" si="148"/>
        <v>0</v>
      </c>
      <c r="E457" s="160">
        <f t="shared" si="148"/>
        <v>0</v>
      </c>
      <c r="F457" s="85">
        <f t="shared" si="148"/>
        <v>3304.9</v>
      </c>
      <c r="G457" s="84">
        <f t="shared" si="148"/>
        <v>0</v>
      </c>
      <c r="H457" s="191">
        <f t="shared" si="148"/>
        <v>0</v>
      </c>
      <c r="I457" s="85">
        <f t="shared" si="148"/>
        <v>3304.9</v>
      </c>
      <c r="J457" s="146">
        <f t="shared" si="148"/>
        <v>0</v>
      </c>
      <c r="K457" s="235">
        <f t="shared" si="148"/>
        <v>0</v>
      </c>
      <c r="L457" s="282">
        <f t="shared" si="148"/>
        <v>3304.9</v>
      </c>
      <c r="M457" s="235">
        <f t="shared" si="148"/>
        <v>0</v>
      </c>
      <c r="N457" s="214">
        <f t="shared" si="148"/>
        <v>0</v>
      </c>
      <c r="O457" s="244">
        <f t="shared" si="148"/>
        <v>3304.9</v>
      </c>
      <c r="P457" s="84">
        <f>SUM(P459:P459)</f>
        <v>0</v>
      </c>
      <c r="Q457" s="85">
        <f>SUM(Q459:Q459)</f>
        <v>3304.9</v>
      </c>
      <c r="R457" s="349">
        <f>SUM(R459:R459)</f>
        <v>1292.39</v>
      </c>
      <c r="S457" s="344">
        <f t="shared" si="128"/>
        <v>39.10526793548973</v>
      </c>
    </row>
    <row r="458" spans="1:19" ht="12.75">
      <c r="A458" s="15" t="s">
        <v>31</v>
      </c>
      <c r="B458" s="60"/>
      <c r="C458" s="79"/>
      <c r="D458" s="186"/>
      <c r="E458" s="157"/>
      <c r="F458" s="77"/>
      <c r="G458" s="142"/>
      <c r="H458" s="210"/>
      <c r="I458" s="123"/>
      <c r="J458" s="142"/>
      <c r="K458" s="231"/>
      <c r="L458" s="217"/>
      <c r="M458" s="225"/>
      <c r="N458" s="186"/>
      <c r="O458" s="292"/>
      <c r="P458" s="323"/>
      <c r="Q458" s="329"/>
      <c r="R458" s="345"/>
      <c r="S458" s="338"/>
    </row>
    <row r="459" spans="1:19" ht="12.75">
      <c r="A459" s="16" t="s">
        <v>62</v>
      </c>
      <c r="B459" s="63"/>
      <c r="C459" s="90">
        <v>3304.9</v>
      </c>
      <c r="D459" s="193"/>
      <c r="E459" s="161"/>
      <c r="F459" s="112">
        <f>C459+D459+E459</f>
        <v>3304.9</v>
      </c>
      <c r="G459" s="136"/>
      <c r="H459" s="215"/>
      <c r="I459" s="129">
        <f>F459+G459+H459</f>
        <v>3304.9</v>
      </c>
      <c r="J459" s="136"/>
      <c r="K459" s="233"/>
      <c r="L459" s="315">
        <f>I459+J459+K459</f>
        <v>3304.9</v>
      </c>
      <c r="M459" s="274"/>
      <c r="N459" s="193"/>
      <c r="O459" s="295">
        <f>L459+M459+N459</f>
        <v>3304.9</v>
      </c>
      <c r="P459" s="326"/>
      <c r="Q459" s="330">
        <f>O459+P459</f>
        <v>3304.9</v>
      </c>
      <c r="R459" s="351">
        <v>1292.39</v>
      </c>
      <c r="S459" s="340">
        <f t="shared" si="128"/>
        <v>39.10526793548973</v>
      </c>
    </row>
    <row r="460" spans="1:19" ht="12.75" hidden="1">
      <c r="A460" s="19" t="s">
        <v>65</v>
      </c>
      <c r="B460" s="64"/>
      <c r="C460" s="84">
        <f aca="true" t="shared" si="149" ref="C460:O460">SUM(C462:C462)</f>
        <v>0</v>
      </c>
      <c r="D460" s="191">
        <f t="shared" si="149"/>
        <v>0</v>
      </c>
      <c r="E460" s="160">
        <f>SUM(E462:E462)</f>
        <v>0</v>
      </c>
      <c r="F460" s="85">
        <f t="shared" si="149"/>
        <v>0</v>
      </c>
      <c r="G460" s="146"/>
      <c r="H460" s="214"/>
      <c r="I460" s="127">
        <f t="shared" si="149"/>
        <v>0</v>
      </c>
      <c r="J460" s="146"/>
      <c r="K460" s="235"/>
      <c r="L460" s="282">
        <f t="shared" si="149"/>
        <v>0</v>
      </c>
      <c r="M460" s="273"/>
      <c r="N460" s="191"/>
      <c r="O460" s="296">
        <f t="shared" si="149"/>
        <v>0</v>
      </c>
      <c r="P460" s="323"/>
      <c r="Q460" s="329">
        <f>O460+P460</f>
        <v>0</v>
      </c>
      <c r="R460" s="345"/>
      <c r="S460" s="338" t="e">
        <f t="shared" si="128"/>
        <v>#DIV/0!</v>
      </c>
    </row>
    <row r="461" spans="1:19" ht="12.75" hidden="1">
      <c r="A461" s="15" t="s">
        <v>31</v>
      </c>
      <c r="B461" s="60"/>
      <c r="C461" s="79"/>
      <c r="D461" s="186"/>
      <c r="E461" s="157"/>
      <c r="F461" s="78"/>
      <c r="G461" s="142"/>
      <c r="H461" s="210"/>
      <c r="I461" s="124"/>
      <c r="J461" s="142"/>
      <c r="K461" s="231"/>
      <c r="L461" s="279"/>
      <c r="M461" s="225"/>
      <c r="N461" s="186"/>
      <c r="O461" s="293"/>
      <c r="P461" s="323"/>
      <c r="Q461" s="329"/>
      <c r="R461" s="345"/>
      <c r="S461" s="338" t="e">
        <f t="shared" si="128"/>
        <v>#DIV/0!</v>
      </c>
    </row>
    <row r="462" spans="1:19" ht="12.75" hidden="1">
      <c r="A462" s="16" t="s">
        <v>66</v>
      </c>
      <c r="B462" s="63"/>
      <c r="C462" s="86"/>
      <c r="D462" s="193"/>
      <c r="E462" s="161"/>
      <c r="F462" s="112">
        <f>C462+D462+E462</f>
        <v>0</v>
      </c>
      <c r="G462" s="136"/>
      <c r="H462" s="215"/>
      <c r="I462" s="129">
        <f>F462+G462+H462</f>
        <v>0</v>
      </c>
      <c r="J462" s="136"/>
      <c r="K462" s="233"/>
      <c r="L462" s="315">
        <f>I462+J462+K462</f>
        <v>0</v>
      </c>
      <c r="M462" s="274"/>
      <c r="N462" s="193"/>
      <c r="O462" s="295">
        <f>L462+M462+N462</f>
        <v>0</v>
      </c>
      <c r="P462" s="326"/>
      <c r="Q462" s="330">
        <f>O462+P462</f>
        <v>0</v>
      </c>
      <c r="R462" s="345"/>
      <c r="S462" s="338" t="e">
        <f t="shared" si="128"/>
        <v>#DIV/0!</v>
      </c>
    </row>
    <row r="463" spans="1:19" ht="12.75">
      <c r="A463" s="10" t="s">
        <v>119</v>
      </c>
      <c r="B463" s="64"/>
      <c r="C463" s="75">
        <f aca="true" t="shared" si="150" ref="C463:R463">C464</f>
        <v>53759.9</v>
      </c>
      <c r="D463" s="185">
        <f t="shared" si="150"/>
        <v>30090.34</v>
      </c>
      <c r="E463" s="156">
        <f t="shared" si="150"/>
        <v>0</v>
      </c>
      <c r="F463" s="77">
        <f t="shared" si="150"/>
        <v>83850.24</v>
      </c>
      <c r="G463" s="75">
        <f t="shared" si="150"/>
        <v>-3970.67</v>
      </c>
      <c r="H463" s="185">
        <f t="shared" si="150"/>
        <v>0</v>
      </c>
      <c r="I463" s="77">
        <f t="shared" si="150"/>
        <v>79879.57</v>
      </c>
      <c r="J463" s="141">
        <f t="shared" si="150"/>
        <v>-1200</v>
      </c>
      <c r="K463" s="230">
        <f t="shared" si="150"/>
        <v>-120</v>
      </c>
      <c r="L463" s="217">
        <f t="shared" si="150"/>
        <v>78559.57</v>
      </c>
      <c r="M463" s="230">
        <f t="shared" si="150"/>
        <v>0</v>
      </c>
      <c r="N463" s="209">
        <f t="shared" si="150"/>
        <v>0</v>
      </c>
      <c r="O463" s="228">
        <f t="shared" si="150"/>
        <v>78559.57</v>
      </c>
      <c r="P463" s="75">
        <f t="shared" si="150"/>
        <v>0</v>
      </c>
      <c r="Q463" s="77">
        <f t="shared" si="150"/>
        <v>78559.57</v>
      </c>
      <c r="R463" s="346">
        <f t="shared" si="150"/>
        <v>28533.72</v>
      </c>
      <c r="S463" s="337">
        <f aca="true" t="shared" si="151" ref="S463:S526">R463/Q463*100</f>
        <v>36.321125484775436</v>
      </c>
    </row>
    <row r="464" spans="1:19" ht="12.75">
      <c r="A464" s="19" t="s">
        <v>59</v>
      </c>
      <c r="B464" s="64"/>
      <c r="C464" s="84">
        <f aca="true" t="shared" si="152" ref="C464:O464">SUM(C466:C469)</f>
        <v>53759.9</v>
      </c>
      <c r="D464" s="191">
        <f t="shared" si="152"/>
        <v>30090.34</v>
      </c>
      <c r="E464" s="160">
        <f t="shared" si="152"/>
        <v>0</v>
      </c>
      <c r="F464" s="85">
        <f t="shared" si="152"/>
        <v>83850.24</v>
      </c>
      <c r="G464" s="84">
        <f t="shared" si="152"/>
        <v>-3970.67</v>
      </c>
      <c r="H464" s="191">
        <f t="shared" si="152"/>
        <v>0</v>
      </c>
      <c r="I464" s="85">
        <f t="shared" si="152"/>
        <v>79879.57</v>
      </c>
      <c r="J464" s="146">
        <f t="shared" si="152"/>
        <v>-1200</v>
      </c>
      <c r="K464" s="235">
        <f t="shared" si="152"/>
        <v>-120</v>
      </c>
      <c r="L464" s="282">
        <f t="shared" si="152"/>
        <v>78559.57</v>
      </c>
      <c r="M464" s="235">
        <f t="shared" si="152"/>
        <v>0</v>
      </c>
      <c r="N464" s="214">
        <f t="shared" si="152"/>
        <v>0</v>
      </c>
      <c r="O464" s="244">
        <f t="shared" si="152"/>
        <v>78559.57</v>
      </c>
      <c r="P464" s="84">
        <f>SUM(P466:P469)</f>
        <v>0</v>
      </c>
      <c r="Q464" s="85">
        <f>SUM(Q466:Q469)</f>
        <v>78559.57</v>
      </c>
      <c r="R464" s="349">
        <f>SUM(R466:R469)</f>
        <v>28533.72</v>
      </c>
      <c r="S464" s="344">
        <f t="shared" si="151"/>
        <v>36.321125484775436</v>
      </c>
    </row>
    <row r="465" spans="1:19" ht="12.75">
      <c r="A465" s="15" t="s">
        <v>31</v>
      </c>
      <c r="B465" s="60"/>
      <c r="C465" s="75"/>
      <c r="D465" s="185"/>
      <c r="E465" s="156"/>
      <c r="F465" s="77"/>
      <c r="G465" s="141"/>
      <c r="H465" s="209"/>
      <c r="I465" s="123"/>
      <c r="J465" s="141"/>
      <c r="K465" s="230"/>
      <c r="L465" s="217"/>
      <c r="M465" s="76"/>
      <c r="N465" s="185"/>
      <c r="O465" s="292"/>
      <c r="P465" s="323"/>
      <c r="Q465" s="329"/>
      <c r="R465" s="345"/>
      <c r="S465" s="338"/>
    </row>
    <row r="466" spans="1:19" ht="12.75">
      <c r="A466" s="22" t="s">
        <v>268</v>
      </c>
      <c r="B466" s="60"/>
      <c r="C466" s="79">
        <v>10000</v>
      </c>
      <c r="D466" s="186"/>
      <c r="E466" s="157"/>
      <c r="F466" s="78">
        <f>C466+D466+E466</f>
        <v>10000</v>
      </c>
      <c r="G466" s="142"/>
      <c r="H466" s="210"/>
      <c r="I466" s="124">
        <f>F466+G466+H466</f>
        <v>10000</v>
      </c>
      <c r="J466" s="262"/>
      <c r="K466" s="231">
        <v>-120</v>
      </c>
      <c r="L466" s="279">
        <f>I466+J466+K466</f>
        <v>9880</v>
      </c>
      <c r="M466" s="225"/>
      <c r="N466" s="186"/>
      <c r="O466" s="293">
        <f>L466+M466+N466</f>
        <v>9880</v>
      </c>
      <c r="P466" s="323"/>
      <c r="Q466" s="329">
        <f>O466+P466</f>
        <v>9880</v>
      </c>
      <c r="R466" s="345"/>
      <c r="S466" s="361" t="s">
        <v>400</v>
      </c>
    </row>
    <row r="467" spans="1:19" ht="12.75">
      <c r="A467" s="22" t="s">
        <v>120</v>
      </c>
      <c r="B467" s="60"/>
      <c r="C467" s="79"/>
      <c r="D467" s="187">
        <v>28774.08</v>
      </c>
      <c r="E467" s="157"/>
      <c r="F467" s="78">
        <f>C467+D467+E467</f>
        <v>28774.08</v>
      </c>
      <c r="G467" s="142">
        <f>-5034.81</f>
        <v>-5034.81</v>
      </c>
      <c r="H467" s="210"/>
      <c r="I467" s="124">
        <f>F467+G467+H467</f>
        <v>23739.27</v>
      </c>
      <c r="J467" s="142"/>
      <c r="K467" s="231"/>
      <c r="L467" s="279">
        <f>I467+J467+K467</f>
        <v>23739.27</v>
      </c>
      <c r="M467" s="225"/>
      <c r="N467" s="186"/>
      <c r="O467" s="293">
        <f>L467+M467+N467</f>
        <v>23739.27</v>
      </c>
      <c r="P467" s="323"/>
      <c r="Q467" s="329">
        <f>O467+P467</f>
        <v>23739.27</v>
      </c>
      <c r="R467" s="345">
        <v>23739.27</v>
      </c>
      <c r="S467" s="338">
        <f t="shared" si="151"/>
        <v>100</v>
      </c>
    </row>
    <row r="468" spans="1:19" ht="12.75">
      <c r="A468" s="22" t="s">
        <v>121</v>
      </c>
      <c r="B468" s="60"/>
      <c r="C468" s="79"/>
      <c r="D468" s="186">
        <f>1316.26</f>
        <v>1316.26</v>
      </c>
      <c r="E468" s="157"/>
      <c r="F468" s="78">
        <f>C468+D468+E468</f>
        <v>1316.26</v>
      </c>
      <c r="G468" s="142">
        <f>1064.14</f>
        <v>1064.14</v>
      </c>
      <c r="H468" s="210"/>
      <c r="I468" s="124">
        <f>F468+G468+H468</f>
        <v>2380.4</v>
      </c>
      <c r="J468" s="142"/>
      <c r="K468" s="231"/>
      <c r="L468" s="279">
        <f>I468+J468+K468</f>
        <v>2380.4</v>
      </c>
      <c r="M468" s="225"/>
      <c r="N468" s="186"/>
      <c r="O468" s="293">
        <f>L468+M468+N468</f>
        <v>2380.4</v>
      </c>
      <c r="P468" s="323"/>
      <c r="Q468" s="329">
        <f>O468+P468</f>
        <v>2380.4</v>
      </c>
      <c r="R468" s="345">
        <v>2380.4</v>
      </c>
      <c r="S468" s="338">
        <f t="shared" si="151"/>
        <v>100</v>
      </c>
    </row>
    <row r="469" spans="1:19" ht="12.75">
      <c r="A469" s="16" t="s">
        <v>62</v>
      </c>
      <c r="B469" s="63"/>
      <c r="C469" s="86">
        <v>43759.9</v>
      </c>
      <c r="D469" s="193"/>
      <c r="E469" s="161"/>
      <c r="F469" s="112">
        <f>C469+D469+E469</f>
        <v>43759.9</v>
      </c>
      <c r="G469" s="136"/>
      <c r="H469" s="215"/>
      <c r="I469" s="129">
        <f>F469+G469+H469</f>
        <v>43759.9</v>
      </c>
      <c r="J469" s="136">
        <f>-1200</f>
        <v>-1200</v>
      </c>
      <c r="K469" s="233"/>
      <c r="L469" s="315">
        <f>I469+J469+K469</f>
        <v>42559.9</v>
      </c>
      <c r="M469" s="274"/>
      <c r="N469" s="193"/>
      <c r="O469" s="295">
        <f>L469+M469+N469</f>
        <v>42559.9</v>
      </c>
      <c r="P469" s="326"/>
      <c r="Q469" s="330">
        <f>O469+P469</f>
        <v>42559.9</v>
      </c>
      <c r="R469" s="351">
        <v>2414.05</v>
      </c>
      <c r="S469" s="368" t="s">
        <v>400</v>
      </c>
    </row>
    <row r="470" spans="1:19" ht="12.75">
      <c r="A470" s="10" t="s">
        <v>218</v>
      </c>
      <c r="B470" s="64"/>
      <c r="C470" s="75">
        <f aca="true" t="shared" si="153" ref="C470:O470">C471+C483</f>
        <v>89419.4</v>
      </c>
      <c r="D470" s="185">
        <f t="shared" si="153"/>
        <v>69083.39</v>
      </c>
      <c r="E470" s="156">
        <f t="shared" si="153"/>
        <v>0</v>
      </c>
      <c r="F470" s="77">
        <f t="shared" si="153"/>
        <v>158502.78999999998</v>
      </c>
      <c r="G470" s="75">
        <f t="shared" si="153"/>
        <v>14830.000000000002</v>
      </c>
      <c r="H470" s="185">
        <f t="shared" si="153"/>
        <v>3918.87</v>
      </c>
      <c r="I470" s="77">
        <f t="shared" si="153"/>
        <v>177251.65999999997</v>
      </c>
      <c r="J470" s="141">
        <f t="shared" si="153"/>
        <v>38044.68</v>
      </c>
      <c r="K470" s="230">
        <f t="shared" si="153"/>
        <v>400</v>
      </c>
      <c r="L470" s="217">
        <f t="shared" si="153"/>
        <v>215696.34000000003</v>
      </c>
      <c r="M470" s="230">
        <f t="shared" si="153"/>
        <v>100</v>
      </c>
      <c r="N470" s="209">
        <f t="shared" si="153"/>
        <v>0</v>
      </c>
      <c r="O470" s="228">
        <f t="shared" si="153"/>
        <v>215796.34000000003</v>
      </c>
      <c r="P470" s="75">
        <f>P471+P483</f>
        <v>0</v>
      </c>
      <c r="Q470" s="77">
        <f>Q471+Q483</f>
        <v>215796.34000000003</v>
      </c>
      <c r="R470" s="346">
        <f>R471+R483</f>
        <v>197051.15</v>
      </c>
      <c r="S470" s="337">
        <f t="shared" si="151"/>
        <v>91.31348103494247</v>
      </c>
    </row>
    <row r="471" spans="1:19" ht="12.75">
      <c r="A471" s="19" t="s">
        <v>59</v>
      </c>
      <c r="B471" s="64"/>
      <c r="C471" s="84">
        <f>SUM(C472:C482)</f>
        <v>59419.399999999994</v>
      </c>
      <c r="D471" s="191">
        <f>SUM(D472:D482)</f>
        <v>28483.389999999996</v>
      </c>
      <c r="E471" s="160">
        <f>SUM(E472:E481)</f>
        <v>7412</v>
      </c>
      <c r="F471" s="85">
        <f aca="true" t="shared" si="154" ref="F471:L471">SUM(F472:F482)</f>
        <v>95314.79</v>
      </c>
      <c r="G471" s="84">
        <f t="shared" si="154"/>
        <v>-3530.1499999999996</v>
      </c>
      <c r="H471" s="191">
        <f t="shared" si="154"/>
        <v>-917.4200000000001</v>
      </c>
      <c r="I471" s="85">
        <f t="shared" si="154"/>
        <v>90867.21999999999</v>
      </c>
      <c r="J471" s="146">
        <f t="shared" si="154"/>
        <v>11767.669999999998</v>
      </c>
      <c r="K471" s="235">
        <f t="shared" si="154"/>
        <v>300</v>
      </c>
      <c r="L471" s="282">
        <f t="shared" si="154"/>
        <v>102934.89</v>
      </c>
      <c r="M471" s="235">
        <f aca="true" t="shared" si="155" ref="M471:R471">SUM(M472:M482)</f>
        <v>70</v>
      </c>
      <c r="N471" s="214">
        <f t="shared" si="155"/>
        <v>0</v>
      </c>
      <c r="O471" s="244">
        <f t="shared" si="155"/>
        <v>103004.89</v>
      </c>
      <c r="P471" s="84">
        <f t="shared" si="155"/>
        <v>0</v>
      </c>
      <c r="Q471" s="85">
        <f t="shared" si="155"/>
        <v>103004.89</v>
      </c>
      <c r="R471" s="349">
        <f t="shared" si="155"/>
        <v>94234.43999999999</v>
      </c>
      <c r="S471" s="344">
        <f t="shared" si="151"/>
        <v>91.4854042366338</v>
      </c>
    </row>
    <row r="472" spans="1:19" ht="12.75">
      <c r="A472" s="13" t="s">
        <v>258</v>
      </c>
      <c r="B472" s="60">
        <v>2</v>
      </c>
      <c r="C472" s="79">
        <v>6725</v>
      </c>
      <c r="D472" s="186">
        <f>100.82</f>
        <v>100.82</v>
      </c>
      <c r="E472" s="157"/>
      <c r="F472" s="78">
        <f aca="true" t="shared" si="156" ref="F472:F482">C472+D472+E472</f>
        <v>6825.82</v>
      </c>
      <c r="G472" s="142"/>
      <c r="H472" s="210">
        <f>-2236.29</f>
        <v>-2236.29</v>
      </c>
      <c r="I472" s="124">
        <f>F472+G472+H472</f>
        <v>4589.53</v>
      </c>
      <c r="J472" s="142">
        <f>115</f>
        <v>115</v>
      </c>
      <c r="K472" s="231"/>
      <c r="L472" s="279">
        <f>I472+J472+K472</f>
        <v>4704.53</v>
      </c>
      <c r="M472" s="225"/>
      <c r="N472" s="186"/>
      <c r="O472" s="293">
        <f>L472+M472+N472</f>
        <v>4704.53</v>
      </c>
      <c r="P472" s="323"/>
      <c r="Q472" s="329">
        <f>O472+P472</f>
        <v>4704.53</v>
      </c>
      <c r="R472" s="345">
        <v>4674.07</v>
      </c>
      <c r="S472" s="338">
        <f t="shared" si="151"/>
        <v>99.3525389358767</v>
      </c>
    </row>
    <row r="473" spans="1:19" ht="12.75">
      <c r="A473" s="13" t="s">
        <v>259</v>
      </c>
      <c r="B473" s="60">
        <v>8</v>
      </c>
      <c r="C473" s="79">
        <v>2500</v>
      </c>
      <c r="D473" s="186"/>
      <c r="E473" s="157"/>
      <c r="F473" s="78">
        <f t="shared" si="156"/>
        <v>2500</v>
      </c>
      <c r="G473" s="142"/>
      <c r="H473" s="210"/>
      <c r="I473" s="124">
        <f aca="true" t="shared" si="157" ref="I473:I482">F473+G473+H473</f>
        <v>2500</v>
      </c>
      <c r="J473" s="142"/>
      <c r="K473" s="231"/>
      <c r="L473" s="279">
        <f aca="true" t="shared" si="158" ref="L473:L482">I473+J473+K473</f>
        <v>2500</v>
      </c>
      <c r="M473" s="225"/>
      <c r="N473" s="186"/>
      <c r="O473" s="293">
        <f aca="true" t="shared" si="159" ref="O473:O482">L473+M473+N473</f>
        <v>2500</v>
      </c>
      <c r="P473" s="323"/>
      <c r="Q473" s="329">
        <f aca="true" t="shared" si="160" ref="Q473:Q490">O473+P473</f>
        <v>2500</v>
      </c>
      <c r="R473" s="345">
        <v>2498</v>
      </c>
      <c r="S473" s="338">
        <f t="shared" si="151"/>
        <v>99.92</v>
      </c>
    </row>
    <row r="474" spans="1:19" ht="12.75">
      <c r="A474" s="13" t="s">
        <v>260</v>
      </c>
      <c r="B474" s="60">
        <v>7</v>
      </c>
      <c r="C474" s="79">
        <v>5420</v>
      </c>
      <c r="D474" s="186">
        <f>47.57</f>
        <v>47.57</v>
      </c>
      <c r="E474" s="157"/>
      <c r="F474" s="78">
        <f t="shared" si="156"/>
        <v>5467.57</v>
      </c>
      <c r="G474" s="142">
        <f>1200</f>
        <v>1200</v>
      </c>
      <c r="H474" s="210">
        <f>3318.87</f>
        <v>3318.87</v>
      </c>
      <c r="I474" s="124">
        <f t="shared" si="157"/>
        <v>9986.439999999999</v>
      </c>
      <c r="J474" s="142"/>
      <c r="K474" s="231"/>
      <c r="L474" s="279">
        <f t="shared" si="158"/>
        <v>9986.439999999999</v>
      </c>
      <c r="M474" s="225"/>
      <c r="N474" s="186"/>
      <c r="O474" s="293">
        <f t="shared" si="159"/>
        <v>9986.439999999999</v>
      </c>
      <c r="P474" s="323"/>
      <c r="Q474" s="329">
        <f t="shared" si="160"/>
        <v>9986.439999999999</v>
      </c>
      <c r="R474" s="345">
        <v>9801.22</v>
      </c>
      <c r="S474" s="338">
        <f t="shared" si="151"/>
        <v>98.14528500646877</v>
      </c>
    </row>
    <row r="475" spans="1:19" ht="12.75">
      <c r="A475" s="13" t="s">
        <v>325</v>
      </c>
      <c r="B475" s="60">
        <v>9</v>
      </c>
      <c r="C475" s="79">
        <v>3460</v>
      </c>
      <c r="D475" s="186">
        <f>86.38</f>
        <v>86.38</v>
      </c>
      <c r="E475" s="157">
        <f>-588</f>
        <v>-588</v>
      </c>
      <c r="F475" s="78">
        <f t="shared" si="156"/>
        <v>2958.38</v>
      </c>
      <c r="G475" s="142"/>
      <c r="H475" s="210"/>
      <c r="I475" s="124">
        <f t="shared" si="157"/>
        <v>2958.38</v>
      </c>
      <c r="J475" s="142"/>
      <c r="K475" s="231"/>
      <c r="L475" s="279">
        <f t="shared" si="158"/>
        <v>2958.38</v>
      </c>
      <c r="M475" s="225"/>
      <c r="N475" s="186"/>
      <c r="O475" s="293">
        <f t="shared" si="159"/>
        <v>2958.38</v>
      </c>
      <c r="P475" s="323"/>
      <c r="Q475" s="329">
        <f t="shared" si="160"/>
        <v>2958.38</v>
      </c>
      <c r="R475" s="345">
        <v>2921.04</v>
      </c>
      <c r="S475" s="338">
        <f t="shared" si="151"/>
        <v>98.73782272730345</v>
      </c>
    </row>
    <row r="476" spans="1:19" ht="12.75">
      <c r="A476" s="13" t="s">
        <v>261</v>
      </c>
      <c r="B476" s="60">
        <v>11</v>
      </c>
      <c r="C476" s="79">
        <v>4279</v>
      </c>
      <c r="D476" s="187">
        <f>48.35</f>
        <v>48.35</v>
      </c>
      <c r="E476" s="165"/>
      <c r="F476" s="78">
        <f t="shared" si="156"/>
        <v>4327.35</v>
      </c>
      <c r="G476" s="142"/>
      <c r="H476" s="210"/>
      <c r="I476" s="124">
        <f t="shared" si="157"/>
        <v>4327.35</v>
      </c>
      <c r="J476" s="142">
        <f>290.47-192</f>
        <v>98.47000000000003</v>
      </c>
      <c r="K476" s="231"/>
      <c r="L476" s="279">
        <f t="shared" si="158"/>
        <v>4425.820000000001</v>
      </c>
      <c r="M476" s="225"/>
      <c r="N476" s="186"/>
      <c r="O476" s="293">
        <f t="shared" si="159"/>
        <v>4425.820000000001</v>
      </c>
      <c r="P476" s="323"/>
      <c r="Q476" s="329">
        <f t="shared" si="160"/>
        <v>4425.820000000001</v>
      </c>
      <c r="R476" s="345">
        <v>4424.5</v>
      </c>
      <c r="S476" s="338">
        <f t="shared" si="151"/>
        <v>99.97017501841465</v>
      </c>
    </row>
    <row r="477" spans="1:19" ht="12.75">
      <c r="A477" s="13" t="s">
        <v>297</v>
      </c>
      <c r="B477" s="60">
        <v>14</v>
      </c>
      <c r="C477" s="79">
        <v>1050</v>
      </c>
      <c r="D477" s="186">
        <f>300+30.91</f>
        <v>330.91</v>
      </c>
      <c r="E477" s="157"/>
      <c r="F477" s="78">
        <f t="shared" si="156"/>
        <v>1380.91</v>
      </c>
      <c r="G477" s="142">
        <f>100+700</f>
        <v>800</v>
      </c>
      <c r="H477" s="210"/>
      <c r="I477" s="124">
        <f t="shared" si="157"/>
        <v>2180.91</v>
      </c>
      <c r="J477" s="142"/>
      <c r="K477" s="231"/>
      <c r="L477" s="279">
        <f t="shared" si="158"/>
        <v>2180.91</v>
      </c>
      <c r="M477" s="225"/>
      <c r="N477" s="186"/>
      <c r="O477" s="293">
        <f t="shared" si="159"/>
        <v>2180.91</v>
      </c>
      <c r="P477" s="323"/>
      <c r="Q477" s="329">
        <f t="shared" si="160"/>
        <v>2180.91</v>
      </c>
      <c r="R477" s="345">
        <v>2140</v>
      </c>
      <c r="S477" s="338">
        <f t="shared" si="151"/>
        <v>98.12417752222696</v>
      </c>
    </row>
    <row r="478" spans="1:19" ht="12.75">
      <c r="A478" s="13" t="s">
        <v>298</v>
      </c>
      <c r="B478" s="60">
        <v>16</v>
      </c>
      <c r="C478" s="79">
        <v>9190</v>
      </c>
      <c r="D478" s="186">
        <f>665.45</f>
        <v>665.45</v>
      </c>
      <c r="E478" s="157"/>
      <c r="F478" s="78">
        <f t="shared" si="156"/>
        <v>9855.45</v>
      </c>
      <c r="G478" s="142"/>
      <c r="H478" s="210"/>
      <c r="I478" s="124">
        <f t="shared" si="157"/>
        <v>9855.45</v>
      </c>
      <c r="J478" s="142"/>
      <c r="K478" s="231"/>
      <c r="L478" s="279">
        <f t="shared" si="158"/>
        <v>9855.45</v>
      </c>
      <c r="M478" s="225"/>
      <c r="N478" s="186"/>
      <c r="O478" s="293">
        <f t="shared" si="159"/>
        <v>9855.45</v>
      </c>
      <c r="P478" s="323"/>
      <c r="Q478" s="329">
        <f t="shared" si="160"/>
        <v>9855.45</v>
      </c>
      <c r="R478" s="345">
        <v>9494.55</v>
      </c>
      <c r="S478" s="338">
        <f t="shared" si="151"/>
        <v>96.33806675494269</v>
      </c>
    </row>
    <row r="479" spans="1:19" ht="12.75">
      <c r="A479" s="13" t="s">
        <v>262</v>
      </c>
      <c r="B479" s="60">
        <v>39</v>
      </c>
      <c r="C479" s="79">
        <v>5769.7</v>
      </c>
      <c r="D479" s="186">
        <f>5717.71</f>
        <v>5717.71</v>
      </c>
      <c r="E479" s="157"/>
      <c r="F479" s="78">
        <f t="shared" si="156"/>
        <v>11487.41</v>
      </c>
      <c r="G479" s="142">
        <f>-8910.15</f>
        <v>-8910.15</v>
      </c>
      <c r="H479" s="210"/>
      <c r="I479" s="124">
        <f t="shared" si="157"/>
        <v>2577.26</v>
      </c>
      <c r="J479" s="142"/>
      <c r="K479" s="231"/>
      <c r="L479" s="279">
        <f t="shared" si="158"/>
        <v>2577.26</v>
      </c>
      <c r="M479" s="225"/>
      <c r="N479" s="186"/>
      <c r="O479" s="293">
        <f t="shared" si="159"/>
        <v>2577.26</v>
      </c>
      <c r="P479" s="323"/>
      <c r="Q479" s="329">
        <f t="shared" si="160"/>
        <v>2577.26</v>
      </c>
      <c r="R479" s="345">
        <v>1977.1</v>
      </c>
      <c r="S479" s="338">
        <f t="shared" si="151"/>
        <v>76.71325361042346</v>
      </c>
    </row>
    <row r="480" spans="1:19" ht="12.75">
      <c r="A480" s="13" t="s">
        <v>299</v>
      </c>
      <c r="B480" s="60" t="s">
        <v>339</v>
      </c>
      <c r="C480" s="79">
        <v>11025.7</v>
      </c>
      <c r="D480" s="186">
        <f>17447.3+99+100+471.71</f>
        <v>18118.01</v>
      </c>
      <c r="E480" s="157"/>
      <c r="F480" s="78">
        <f t="shared" si="156"/>
        <v>29143.71</v>
      </c>
      <c r="G480" s="142">
        <f>250+2000+300+300+100+50+70+10-200+100+200+600</f>
        <v>3780</v>
      </c>
      <c r="H480" s="210">
        <f>-1000-1600+600</f>
        <v>-2000</v>
      </c>
      <c r="I480" s="124">
        <f t="shared" si="157"/>
        <v>30923.71</v>
      </c>
      <c r="J480" s="142">
        <f>192+2000+20+100+5000+1600+1000+2500+300+200+150+150+100+500-300+250+250</f>
        <v>14012</v>
      </c>
      <c r="K480" s="231"/>
      <c r="L480" s="279">
        <f t="shared" si="158"/>
        <v>44935.71</v>
      </c>
      <c r="M480" s="225">
        <f>100</f>
        <v>100</v>
      </c>
      <c r="N480" s="186"/>
      <c r="O480" s="293">
        <f t="shared" si="159"/>
        <v>45035.71</v>
      </c>
      <c r="P480" s="323"/>
      <c r="Q480" s="329">
        <f t="shared" si="160"/>
        <v>45035.71</v>
      </c>
      <c r="R480" s="345">
        <v>41187.27</v>
      </c>
      <c r="S480" s="338">
        <f t="shared" si="151"/>
        <v>91.45469228752027</v>
      </c>
    </row>
    <row r="481" spans="1:19" ht="12.75">
      <c r="A481" s="13" t="s">
        <v>263</v>
      </c>
      <c r="B481" s="60" t="s">
        <v>340</v>
      </c>
      <c r="C481" s="79">
        <v>10000</v>
      </c>
      <c r="D481" s="186">
        <f>3245.23+52.2</f>
        <v>3297.43</v>
      </c>
      <c r="E481" s="157">
        <f>8000</f>
        <v>8000</v>
      </c>
      <c r="F481" s="78">
        <f t="shared" si="156"/>
        <v>21297.43</v>
      </c>
      <c r="G481" s="142">
        <f>-400</f>
        <v>-400</v>
      </c>
      <c r="H481" s="210"/>
      <c r="I481" s="124">
        <f t="shared" si="157"/>
        <v>20897.43</v>
      </c>
      <c r="J481" s="142">
        <f>-457.8-2000</f>
        <v>-2457.8</v>
      </c>
      <c r="K481" s="234">
        <f>300</f>
        <v>300</v>
      </c>
      <c r="L481" s="279">
        <f t="shared" si="158"/>
        <v>18739.63</v>
      </c>
      <c r="M481" s="225">
        <f>-30</f>
        <v>-30</v>
      </c>
      <c r="N481" s="186"/>
      <c r="O481" s="293">
        <f t="shared" si="159"/>
        <v>18709.63</v>
      </c>
      <c r="P481" s="323"/>
      <c r="Q481" s="329">
        <f t="shared" si="160"/>
        <v>18709.63</v>
      </c>
      <c r="R481" s="345">
        <v>15104.43</v>
      </c>
      <c r="S481" s="338">
        <f t="shared" si="151"/>
        <v>80.73077874869786</v>
      </c>
    </row>
    <row r="482" spans="1:19" ht="12.75">
      <c r="A482" s="13" t="s">
        <v>62</v>
      </c>
      <c r="B482" s="60"/>
      <c r="C482" s="79"/>
      <c r="D482" s="186">
        <f>70.76</f>
        <v>70.76</v>
      </c>
      <c r="E482" s="157"/>
      <c r="F482" s="78">
        <f t="shared" si="156"/>
        <v>70.76</v>
      </c>
      <c r="G482" s="142"/>
      <c r="H482" s="210"/>
      <c r="I482" s="124">
        <f t="shared" si="157"/>
        <v>70.76</v>
      </c>
      <c r="J482" s="142"/>
      <c r="K482" s="231"/>
      <c r="L482" s="279">
        <f t="shared" si="158"/>
        <v>70.76</v>
      </c>
      <c r="M482" s="225"/>
      <c r="N482" s="186"/>
      <c r="O482" s="293">
        <f t="shared" si="159"/>
        <v>70.76</v>
      </c>
      <c r="P482" s="323"/>
      <c r="Q482" s="329">
        <f t="shared" si="160"/>
        <v>70.76</v>
      </c>
      <c r="R482" s="345">
        <v>12.26</v>
      </c>
      <c r="S482" s="338">
        <f t="shared" si="151"/>
        <v>17.326172979084227</v>
      </c>
    </row>
    <row r="483" spans="1:19" ht="12.75">
      <c r="A483" s="19" t="s">
        <v>65</v>
      </c>
      <c r="B483" s="64"/>
      <c r="C483" s="84">
        <f aca="true" t="shared" si="161" ref="C483:R483">SUM(C485:C490)</f>
        <v>30000</v>
      </c>
      <c r="D483" s="191">
        <f t="shared" si="161"/>
        <v>40600</v>
      </c>
      <c r="E483" s="160">
        <f t="shared" si="161"/>
        <v>-7412</v>
      </c>
      <c r="F483" s="85">
        <f t="shared" si="161"/>
        <v>63188</v>
      </c>
      <c r="G483" s="84">
        <f t="shared" si="161"/>
        <v>18360.15</v>
      </c>
      <c r="H483" s="191">
        <f t="shared" si="161"/>
        <v>4836.29</v>
      </c>
      <c r="I483" s="85">
        <f t="shared" si="161"/>
        <v>86384.44</v>
      </c>
      <c r="J483" s="146">
        <f t="shared" si="161"/>
        <v>26277.010000000002</v>
      </c>
      <c r="K483" s="235">
        <f t="shared" si="161"/>
        <v>100</v>
      </c>
      <c r="L483" s="282">
        <f t="shared" si="161"/>
        <v>112761.45000000001</v>
      </c>
      <c r="M483" s="235">
        <f t="shared" si="161"/>
        <v>30</v>
      </c>
      <c r="N483" s="214">
        <f t="shared" si="161"/>
        <v>0</v>
      </c>
      <c r="O483" s="244">
        <f t="shared" si="161"/>
        <v>112791.45000000001</v>
      </c>
      <c r="P483" s="84">
        <f t="shared" si="161"/>
        <v>0</v>
      </c>
      <c r="Q483" s="85">
        <f t="shared" si="161"/>
        <v>112791.45000000001</v>
      </c>
      <c r="R483" s="349">
        <f t="shared" si="161"/>
        <v>102816.71</v>
      </c>
      <c r="S483" s="344">
        <f t="shared" si="151"/>
        <v>91.15647506969721</v>
      </c>
    </row>
    <row r="484" spans="1:19" ht="12.75">
      <c r="A484" s="15" t="s">
        <v>31</v>
      </c>
      <c r="B484" s="60"/>
      <c r="C484" s="79"/>
      <c r="D484" s="186"/>
      <c r="E484" s="157"/>
      <c r="F484" s="78"/>
      <c r="G484" s="142"/>
      <c r="H484" s="210"/>
      <c r="I484" s="124"/>
      <c r="J484" s="142"/>
      <c r="K484" s="231"/>
      <c r="L484" s="279"/>
      <c r="M484" s="225"/>
      <c r="N484" s="186"/>
      <c r="O484" s="293"/>
      <c r="P484" s="323"/>
      <c r="Q484" s="329"/>
      <c r="R484" s="345"/>
      <c r="S484" s="338"/>
    </row>
    <row r="485" spans="1:19" ht="12.75">
      <c r="A485" s="17" t="s">
        <v>288</v>
      </c>
      <c r="B485" s="60"/>
      <c r="C485" s="79"/>
      <c r="D485" s="186">
        <f>5000+10000</f>
        <v>15000</v>
      </c>
      <c r="E485" s="157"/>
      <c r="F485" s="78">
        <f aca="true" t="shared" si="162" ref="F485:F490">C485+D485+E485</f>
        <v>15000</v>
      </c>
      <c r="G485" s="142">
        <f>2000+8910.15</f>
        <v>10910.15</v>
      </c>
      <c r="H485" s="210"/>
      <c r="I485" s="124">
        <f aca="true" t="shared" si="163" ref="I485:I490">F485+G485+H485</f>
        <v>25910.15</v>
      </c>
      <c r="J485" s="142">
        <f>162.01-1092.04+3000</f>
        <v>2069.9700000000003</v>
      </c>
      <c r="K485" s="231"/>
      <c r="L485" s="279">
        <f aca="true" t="shared" si="164" ref="L485:L490">I485+J485+K485</f>
        <v>27980.120000000003</v>
      </c>
      <c r="M485" s="225"/>
      <c r="N485" s="186"/>
      <c r="O485" s="293">
        <f aca="true" t="shared" si="165" ref="O485:O490">L485+M485+N485</f>
        <v>27980.120000000003</v>
      </c>
      <c r="P485" s="323"/>
      <c r="Q485" s="329">
        <f t="shared" si="160"/>
        <v>27980.120000000003</v>
      </c>
      <c r="R485" s="345">
        <v>21157.22</v>
      </c>
      <c r="S485" s="338">
        <f t="shared" si="151"/>
        <v>75.61518678261565</v>
      </c>
    </row>
    <row r="486" spans="1:19" ht="12.75">
      <c r="A486" s="17" t="s">
        <v>212</v>
      </c>
      <c r="B486" s="60"/>
      <c r="C486" s="79"/>
      <c r="D486" s="186"/>
      <c r="E486" s="157"/>
      <c r="F486" s="78">
        <f t="shared" si="162"/>
        <v>0</v>
      </c>
      <c r="G486" s="142"/>
      <c r="H486" s="210">
        <f>2236.29</f>
        <v>2236.29</v>
      </c>
      <c r="I486" s="124">
        <f t="shared" si="163"/>
        <v>2236.29</v>
      </c>
      <c r="J486" s="142">
        <f>-115</f>
        <v>-115</v>
      </c>
      <c r="K486" s="231"/>
      <c r="L486" s="279">
        <f t="shared" si="164"/>
        <v>2121.29</v>
      </c>
      <c r="M486" s="225"/>
      <c r="N486" s="186"/>
      <c r="O486" s="293">
        <f t="shared" si="165"/>
        <v>2121.29</v>
      </c>
      <c r="P486" s="323"/>
      <c r="Q486" s="329">
        <f t="shared" si="160"/>
        <v>2121.29</v>
      </c>
      <c r="R486" s="345">
        <v>1721.29</v>
      </c>
      <c r="S486" s="338">
        <f t="shared" si="151"/>
        <v>81.14354944397041</v>
      </c>
    </row>
    <row r="487" spans="1:19" ht="12.75" hidden="1">
      <c r="A487" s="17" t="s">
        <v>133</v>
      </c>
      <c r="B487" s="60"/>
      <c r="C487" s="79"/>
      <c r="D487" s="186">
        <f>700</f>
        <v>700</v>
      </c>
      <c r="E487" s="157"/>
      <c r="F487" s="78">
        <f t="shared" si="162"/>
        <v>700</v>
      </c>
      <c r="G487" s="142">
        <f>-700</f>
        <v>-700</v>
      </c>
      <c r="H487" s="210"/>
      <c r="I487" s="124">
        <f t="shared" si="163"/>
        <v>0</v>
      </c>
      <c r="J487" s="142"/>
      <c r="K487" s="231"/>
      <c r="L487" s="279">
        <f t="shared" si="164"/>
        <v>0</v>
      </c>
      <c r="M487" s="225"/>
      <c r="N487" s="186"/>
      <c r="O487" s="293">
        <f t="shared" si="165"/>
        <v>0</v>
      </c>
      <c r="P487" s="323"/>
      <c r="Q487" s="329">
        <f t="shared" si="160"/>
        <v>0</v>
      </c>
      <c r="R487" s="345"/>
      <c r="S487" s="338" t="e">
        <f t="shared" si="151"/>
        <v>#DIV/0!</v>
      </c>
    </row>
    <row r="488" spans="1:19" ht="12.75">
      <c r="A488" s="17" t="s">
        <v>332</v>
      </c>
      <c r="B488" s="60"/>
      <c r="C488" s="79"/>
      <c r="D488" s="186"/>
      <c r="E488" s="157">
        <f>588</f>
        <v>588</v>
      </c>
      <c r="F488" s="78">
        <f t="shared" si="162"/>
        <v>588</v>
      </c>
      <c r="G488" s="142"/>
      <c r="H488" s="210"/>
      <c r="I488" s="124">
        <f t="shared" si="163"/>
        <v>588</v>
      </c>
      <c r="J488" s="142"/>
      <c r="K488" s="231"/>
      <c r="L488" s="279">
        <f t="shared" si="164"/>
        <v>588</v>
      </c>
      <c r="M488" s="225"/>
      <c r="N488" s="186"/>
      <c r="O488" s="293">
        <f t="shared" si="165"/>
        <v>588</v>
      </c>
      <c r="P488" s="323"/>
      <c r="Q488" s="329">
        <f t="shared" si="160"/>
        <v>588</v>
      </c>
      <c r="R488" s="345">
        <v>588</v>
      </c>
      <c r="S488" s="338">
        <f t="shared" si="151"/>
        <v>100</v>
      </c>
    </row>
    <row r="489" spans="1:19" ht="12.75">
      <c r="A489" s="17" t="s">
        <v>309</v>
      </c>
      <c r="B489" s="60" t="s">
        <v>339</v>
      </c>
      <c r="C489" s="79"/>
      <c r="D489" s="186">
        <f>24900</f>
        <v>24900</v>
      </c>
      <c r="E489" s="157"/>
      <c r="F489" s="78">
        <f t="shared" si="162"/>
        <v>24900</v>
      </c>
      <c r="G489" s="142">
        <f>1500+1000+2000+300+300+300+250+400+1700</f>
        <v>7750</v>
      </c>
      <c r="H489" s="210">
        <f>1000+1600</f>
        <v>2600</v>
      </c>
      <c r="I489" s="124">
        <f t="shared" si="163"/>
        <v>35250</v>
      </c>
      <c r="J489" s="142">
        <f>142+1092.04+230+2500+300+4000+500+1000+700+5000+3500+350+750+3000+300+260+90+750</f>
        <v>24464.04</v>
      </c>
      <c r="K489" s="231">
        <v>400</v>
      </c>
      <c r="L489" s="279">
        <f t="shared" si="164"/>
        <v>60114.04</v>
      </c>
      <c r="M489" s="225"/>
      <c r="N489" s="186"/>
      <c r="O489" s="293">
        <f t="shared" si="165"/>
        <v>60114.04</v>
      </c>
      <c r="P489" s="323"/>
      <c r="Q489" s="329">
        <f t="shared" si="160"/>
        <v>60114.04</v>
      </c>
      <c r="R489" s="345">
        <v>59364.04</v>
      </c>
      <c r="S489" s="338">
        <f t="shared" si="151"/>
        <v>98.7523713262326</v>
      </c>
    </row>
    <row r="490" spans="1:19" ht="13.5" thickBot="1">
      <c r="A490" s="114" t="s">
        <v>97</v>
      </c>
      <c r="B490" s="375" t="s">
        <v>340</v>
      </c>
      <c r="C490" s="376">
        <v>30000</v>
      </c>
      <c r="D490" s="194"/>
      <c r="E490" s="163">
        <f>-8000</f>
        <v>-8000</v>
      </c>
      <c r="F490" s="117">
        <f t="shared" si="162"/>
        <v>22000</v>
      </c>
      <c r="G490" s="139">
        <f>400</f>
        <v>400</v>
      </c>
      <c r="H490" s="219"/>
      <c r="I490" s="140">
        <f t="shared" si="163"/>
        <v>22400</v>
      </c>
      <c r="J490" s="139">
        <f>-142</f>
        <v>-142</v>
      </c>
      <c r="K490" s="371">
        <f>-300</f>
        <v>-300</v>
      </c>
      <c r="L490" s="316">
        <f t="shared" si="164"/>
        <v>21958</v>
      </c>
      <c r="M490" s="300">
        <f>30</f>
        <v>30</v>
      </c>
      <c r="N490" s="194"/>
      <c r="O490" s="301">
        <f t="shared" si="165"/>
        <v>21988</v>
      </c>
      <c r="P490" s="327"/>
      <c r="Q490" s="332">
        <f t="shared" si="160"/>
        <v>21988</v>
      </c>
      <c r="R490" s="355">
        <v>19986.16</v>
      </c>
      <c r="S490" s="339">
        <f t="shared" si="151"/>
        <v>90.89576132435873</v>
      </c>
    </row>
    <row r="491" spans="1:19" ht="12.75">
      <c r="A491" s="10" t="s">
        <v>170</v>
      </c>
      <c r="B491" s="64"/>
      <c r="C491" s="75">
        <f aca="true" t="shared" si="166" ref="C491:R491">C492</f>
        <v>0</v>
      </c>
      <c r="D491" s="185">
        <f t="shared" si="166"/>
        <v>7275.29</v>
      </c>
      <c r="E491" s="156">
        <f t="shared" si="166"/>
        <v>0</v>
      </c>
      <c r="F491" s="77">
        <f t="shared" si="166"/>
        <v>7275.29</v>
      </c>
      <c r="G491" s="75">
        <f t="shared" si="166"/>
        <v>0</v>
      </c>
      <c r="H491" s="185">
        <f t="shared" si="166"/>
        <v>0</v>
      </c>
      <c r="I491" s="77">
        <f t="shared" si="166"/>
        <v>7275.29</v>
      </c>
      <c r="J491" s="141">
        <f t="shared" si="166"/>
        <v>0</v>
      </c>
      <c r="K491" s="230">
        <f t="shared" si="166"/>
        <v>0</v>
      </c>
      <c r="L491" s="217">
        <f t="shared" si="166"/>
        <v>7275.29</v>
      </c>
      <c r="M491" s="230">
        <f t="shared" si="166"/>
        <v>0</v>
      </c>
      <c r="N491" s="209">
        <f t="shared" si="166"/>
        <v>0</v>
      </c>
      <c r="O491" s="228">
        <f t="shared" si="166"/>
        <v>7275.29</v>
      </c>
      <c r="P491" s="75">
        <f t="shared" si="166"/>
        <v>0</v>
      </c>
      <c r="Q491" s="77">
        <f t="shared" si="166"/>
        <v>7275.29</v>
      </c>
      <c r="R491" s="346">
        <f t="shared" si="166"/>
        <v>2.71</v>
      </c>
      <c r="S491" s="337">
        <f t="shared" si="151"/>
        <v>0.03724937425174804</v>
      </c>
    </row>
    <row r="492" spans="1:19" ht="12.75">
      <c r="A492" s="19" t="s">
        <v>59</v>
      </c>
      <c r="B492" s="64"/>
      <c r="C492" s="84">
        <f aca="true" t="shared" si="167" ref="C492:O492">C494</f>
        <v>0</v>
      </c>
      <c r="D492" s="191">
        <f t="shared" si="167"/>
        <v>7275.29</v>
      </c>
      <c r="E492" s="160">
        <f t="shared" si="167"/>
        <v>0</v>
      </c>
      <c r="F492" s="85">
        <f t="shared" si="167"/>
        <v>7275.29</v>
      </c>
      <c r="G492" s="84">
        <f t="shared" si="167"/>
        <v>0</v>
      </c>
      <c r="H492" s="191">
        <f t="shared" si="167"/>
        <v>0</v>
      </c>
      <c r="I492" s="85">
        <f t="shared" si="167"/>
        <v>7275.29</v>
      </c>
      <c r="J492" s="146">
        <f t="shared" si="167"/>
        <v>0</v>
      </c>
      <c r="K492" s="235">
        <f t="shared" si="167"/>
        <v>0</v>
      </c>
      <c r="L492" s="282">
        <f t="shared" si="167"/>
        <v>7275.29</v>
      </c>
      <c r="M492" s="235">
        <f t="shared" si="167"/>
        <v>0</v>
      </c>
      <c r="N492" s="214">
        <f t="shared" si="167"/>
        <v>0</v>
      </c>
      <c r="O492" s="244">
        <f t="shared" si="167"/>
        <v>7275.29</v>
      </c>
      <c r="P492" s="84">
        <f>P494</f>
        <v>0</v>
      </c>
      <c r="Q492" s="85">
        <f>Q494</f>
        <v>7275.29</v>
      </c>
      <c r="R492" s="349">
        <f>R494</f>
        <v>2.71</v>
      </c>
      <c r="S492" s="344">
        <f t="shared" si="151"/>
        <v>0.03724937425174804</v>
      </c>
    </row>
    <row r="493" spans="1:19" ht="12.75">
      <c r="A493" s="15" t="s">
        <v>31</v>
      </c>
      <c r="B493" s="60"/>
      <c r="C493" s="79"/>
      <c r="D493" s="186"/>
      <c r="E493" s="157"/>
      <c r="F493" s="78"/>
      <c r="G493" s="142"/>
      <c r="H493" s="210"/>
      <c r="I493" s="124"/>
      <c r="J493" s="142"/>
      <c r="K493" s="231"/>
      <c r="L493" s="279"/>
      <c r="M493" s="225"/>
      <c r="N493" s="186"/>
      <c r="O493" s="293"/>
      <c r="P493" s="323"/>
      <c r="Q493" s="329"/>
      <c r="R493" s="345"/>
      <c r="S493" s="338"/>
    </row>
    <row r="494" spans="1:19" ht="12.75">
      <c r="A494" s="16" t="s">
        <v>62</v>
      </c>
      <c r="B494" s="63"/>
      <c r="C494" s="86">
        <v>0</v>
      </c>
      <c r="D494" s="193">
        <v>7275.29</v>
      </c>
      <c r="E494" s="161"/>
      <c r="F494" s="78">
        <f>C494+D494+E494</f>
        <v>7275.29</v>
      </c>
      <c r="G494" s="136"/>
      <c r="H494" s="215"/>
      <c r="I494" s="129">
        <f>F494+G494+H494</f>
        <v>7275.29</v>
      </c>
      <c r="J494" s="136"/>
      <c r="K494" s="233"/>
      <c r="L494" s="315">
        <f>I494+J494+K494</f>
        <v>7275.29</v>
      </c>
      <c r="M494" s="274"/>
      <c r="N494" s="193"/>
      <c r="O494" s="295">
        <f>L494+M494+N494</f>
        <v>7275.29</v>
      </c>
      <c r="P494" s="326"/>
      <c r="Q494" s="330">
        <f>O494+P494</f>
        <v>7275.29</v>
      </c>
      <c r="R494" s="345">
        <v>2.71</v>
      </c>
      <c r="S494" s="368" t="s">
        <v>400</v>
      </c>
    </row>
    <row r="495" spans="1:19" ht="12.75">
      <c r="A495" s="10" t="s">
        <v>122</v>
      </c>
      <c r="B495" s="64"/>
      <c r="C495" s="75">
        <f aca="true" t="shared" si="168" ref="C495:O495">C497+C498</f>
        <v>252445</v>
      </c>
      <c r="D495" s="197">
        <f t="shared" si="168"/>
        <v>319583.76</v>
      </c>
      <c r="E495" s="168">
        <f t="shared" si="168"/>
        <v>0</v>
      </c>
      <c r="F495" s="91">
        <f t="shared" si="168"/>
        <v>572028.76</v>
      </c>
      <c r="G495" s="147">
        <f t="shared" si="168"/>
        <v>67240.02</v>
      </c>
      <c r="H495" s="197">
        <f t="shared" si="168"/>
        <v>0</v>
      </c>
      <c r="I495" s="91">
        <f t="shared" si="168"/>
        <v>639268.7799999999</v>
      </c>
      <c r="J495" s="264">
        <f t="shared" si="168"/>
        <v>-64951.50000000001</v>
      </c>
      <c r="K495" s="257">
        <f t="shared" si="168"/>
        <v>120</v>
      </c>
      <c r="L495" s="285">
        <f t="shared" si="168"/>
        <v>574437.28</v>
      </c>
      <c r="M495" s="257">
        <f t="shared" si="168"/>
        <v>-10804.35</v>
      </c>
      <c r="N495" s="305">
        <f t="shared" si="168"/>
        <v>7300</v>
      </c>
      <c r="O495" s="247">
        <f t="shared" si="168"/>
        <v>570932.9299999999</v>
      </c>
      <c r="P495" s="147">
        <f>P497+P498</f>
        <v>1834.41</v>
      </c>
      <c r="Q495" s="91">
        <f>Q497+Q498</f>
        <v>572767.34</v>
      </c>
      <c r="R495" s="354">
        <f>R497+R498</f>
        <v>273431.93000000005</v>
      </c>
      <c r="S495" s="337">
        <f t="shared" si="151"/>
        <v>47.738743274014205</v>
      </c>
    </row>
    <row r="496" spans="1:19" ht="12.75">
      <c r="A496" s="12" t="s">
        <v>31</v>
      </c>
      <c r="B496" s="60"/>
      <c r="C496" s="75"/>
      <c r="D496" s="185"/>
      <c r="E496" s="156"/>
      <c r="F496" s="77"/>
      <c r="G496" s="75"/>
      <c r="H496" s="185"/>
      <c r="I496" s="77"/>
      <c r="J496" s="141"/>
      <c r="K496" s="230"/>
      <c r="L496" s="217"/>
      <c r="M496" s="230"/>
      <c r="N496" s="209"/>
      <c r="O496" s="228"/>
      <c r="P496" s="75"/>
      <c r="Q496" s="77"/>
      <c r="R496" s="346"/>
      <c r="S496" s="337"/>
    </row>
    <row r="497" spans="1:19" ht="12.75">
      <c r="A497" s="10" t="s">
        <v>59</v>
      </c>
      <c r="B497" s="64"/>
      <c r="C497" s="80">
        <f>C512+C514+C526+C528+C533+C538+C529+C519+C540+C521+C544</f>
        <v>40250</v>
      </c>
      <c r="D497" s="189">
        <f aca="true" t="shared" si="169" ref="D497:O497">D512+D514+D526+D528+D533+D538+D529+D519+D540+D521+D544</f>
        <v>29405.19</v>
      </c>
      <c r="E497" s="110">
        <f t="shared" si="169"/>
        <v>0</v>
      </c>
      <c r="F497" s="81">
        <f t="shared" si="169"/>
        <v>69655.19</v>
      </c>
      <c r="G497" s="80">
        <f t="shared" si="169"/>
        <v>-1436.9500000000005</v>
      </c>
      <c r="H497" s="111">
        <f t="shared" si="169"/>
        <v>0</v>
      </c>
      <c r="I497" s="81">
        <f t="shared" si="169"/>
        <v>68218.24</v>
      </c>
      <c r="J497" s="144">
        <f t="shared" si="169"/>
        <v>-799.5499999999997</v>
      </c>
      <c r="K497" s="232">
        <f t="shared" si="169"/>
        <v>0</v>
      </c>
      <c r="L497" s="280">
        <f t="shared" si="169"/>
        <v>67418.69</v>
      </c>
      <c r="M497" s="232">
        <f t="shared" si="169"/>
        <v>1725</v>
      </c>
      <c r="N497" s="212">
        <f t="shared" si="169"/>
        <v>0</v>
      </c>
      <c r="O497" s="242">
        <f t="shared" si="169"/>
        <v>69143.69</v>
      </c>
      <c r="P497" s="80">
        <f>P512+P514+P526+P528+P533+P538+P529+P519+P540+P521+P544</f>
        <v>-94</v>
      </c>
      <c r="Q497" s="81">
        <f>Q512+Q514+Q526+Q528+Q533+Q538+Q529+Q519+Q540+Q521+Q544</f>
        <v>69049.69</v>
      </c>
      <c r="R497" s="347">
        <f>R512+R514+R526+R528+R533+R538+R529+R519+R540+R521+R544</f>
        <v>45506.43</v>
      </c>
      <c r="S497" s="337">
        <f t="shared" si="151"/>
        <v>65.90388747581632</v>
      </c>
    </row>
    <row r="498" spans="1:19" ht="12.75">
      <c r="A498" s="10" t="s">
        <v>65</v>
      </c>
      <c r="B498" s="64"/>
      <c r="C498" s="80">
        <f>C501+C502+C504+C505+C507+C509+C510+C511+C515+C516+C518+C520+C522+C524+C525+C527+C530+C532+C534+C535+C537+C539+C541+C543</f>
        <v>212195</v>
      </c>
      <c r="D498" s="189">
        <f aca="true" t="shared" si="170" ref="D498:O498">D501+D502+D504+D505+D507+D509+D510+D511+D515+D516+D518+D520+D522+D524+D525+D527+D530+D532+D534+D535+D537+D539+D541+D543</f>
        <v>290178.57</v>
      </c>
      <c r="E498" s="110">
        <f t="shared" si="170"/>
        <v>0</v>
      </c>
      <c r="F498" s="81">
        <f t="shared" si="170"/>
        <v>502373.56999999995</v>
      </c>
      <c r="G498" s="80">
        <f t="shared" si="170"/>
        <v>68676.97</v>
      </c>
      <c r="H498" s="111">
        <f t="shared" si="170"/>
        <v>0</v>
      </c>
      <c r="I498" s="81">
        <f t="shared" si="170"/>
        <v>571050.5399999999</v>
      </c>
      <c r="J498" s="144">
        <f t="shared" si="170"/>
        <v>-64151.950000000004</v>
      </c>
      <c r="K498" s="232">
        <f t="shared" si="170"/>
        <v>120</v>
      </c>
      <c r="L498" s="280">
        <f t="shared" si="170"/>
        <v>507018.58999999997</v>
      </c>
      <c r="M498" s="232">
        <f t="shared" si="170"/>
        <v>-12529.35</v>
      </c>
      <c r="N498" s="212">
        <f t="shared" si="170"/>
        <v>7300</v>
      </c>
      <c r="O498" s="242">
        <f t="shared" si="170"/>
        <v>501789.24</v>
      </c>
      <c r="P498" s="80">
        <f>P501+P502+P504+P505+P507+P509+P510+P511+P515+P516+P518+P520+P522+P524+P525+P527+P530+P532+P534+P535+P537+P539+P541+P543</f>
        <v>1928.41</v>
      </c>
      <c r="Q498" s="81">
        <f>Q501+Q502+Q504+Q505+Q507+Q509+Q510+Q511+Q515+Q516+Q518+Q520+Q522+Q524+Q525+Q527+Q530+Q532+Q534+Q535+Q537+Q539+Q541+Q543</f>
        <v>503717.64999999997</v>
      </c>
      <c r="R498" s="347">
        <f>R501+R502+R504+R505+R507+R509+R510+R511+R515+R516+R518+R520+R522+R524+R525+R527+R530+R532+R534+R535+R537+R539+R541+R543</f>
        <v>227925.50000000003</v>
      </c>
      <c r="S498" s="337">
        <f t="shared" si="151"/>
        <v>45.248662618830224</v>
      </c>
    </row>
    <row r="499" spans="1:19" ht="12.75">
      <c r="A499" s="11" t="s">
        <v>123</v>
      </c>
      <c r="B499" s="60"/>
      <c r="C499" s="75"/>
      <c r="D499" s="185"/>
      <c r="E499" s="156"/>
      <c r="F499" s="77"/>
      <c r="G499" s="141"/>
      <c r="H499" s="217"/>
      <c r="I499" s="123"/>
      <c r="J499" s="141"/>
      <c r="K499" s="230"/>
      <c r="L499" s="217"/>
      <c r="M499" s="76"/>
      <c r="N499" s="185"/>
      <c r="O499" s="292"/>
      <c r="P499" s="323"/>
      <c r="Q499" s="329"/>
      <c r="R499" s="345"/>
      <c r="S499" s="338"/>
    </row>
    <row r="500" spans="1:19" ht="12.75" hidden="1">
      <c r="A500" s="12" t="s">
        <v>124</v>
      </c>
      <c r="B500" s="60"/>
      <c r="C500" s="79">
        <f>C501+C502</f>
        <v>0</v>
      </c>
      <c r="D500" s="186">
        <f>D501+D502</f>
        <v>0</v>
      </c>
      <c r="E500" s="157">
        <f>E501+E502</f>
        <v>0</v>
      </c>
      <c r="F500" s="78">
        <f>F501+F502</f>
        <v>0</v>
      </c>
      <c r="G500" s="142"/>
      <c r="H500" s="210"/>
      <c r="I500" s="124">
        <f>I501+I502</f>
        <v>0</v>
      </c>
      <c r="J500" s="142"/>
      <c r="K500" s="231"/>
      <c r="L500" s="279">
        <f>L501+L502</f>
        <v>0</v>
      </c>
      <c r="M500" s="225"/>
      <c r="N500" s="186"/>
      <c r="O500" s="293">
        <f>O501+O502</f>
        <v>0</v>
      </c>
      <c r="P500" s="79"/>
      <c r="Q500" s="78">
        <f>Q501+Q502</f>
        <v>0</v>
      </c>
      <c r="R500" s="345"/>
      <c r="S500" s="338" t="e">
        <f t="shared" si="151"/>
        <v>#DIV/0!</v>
      </c>
    </row>
    <row r="501" spans="1:19" ht="12.75" hidden="1">
      <c r="A501" s="12" t="s">
        <v>125</v>
      </c>
      <c r="B501" s="60"/>
      <c r="C501" s="79"/>
      <c r="D501" s="186"/>
      <c r="E501" s="157"/>
      <c r="F501" s="78">
        <f aca="true" t="shared" si="171" ref="F501:F545">C501+D501+E501</f>
        <v>0</v>
      </c>
      <c r="G501" s="142"/>
      <c r="H501" s="209"/>
      <c r="I501" s="124">
        <f>F501+G501+H501</f>
        <v>0</v>
      </c>
      <c r="J501" s="142"/>
      <c r="K501" s="230"/>
      <c r="L501" s="279">
        <f>I501+J501+K501</f>
        <v>0</v>
      </c>
      <c r="M501" s="225"/>
      <c r="N501" s="185"/>
      <c r="O501" s="293">
        <f>L501+M501+N501</f>
        <v>0</v>
      </c>
      <c r="P501" s="323"/>
      <c r="Q501" s="329">
        <f>O501+P501</f>
        <v>0</v>
      </c>
      <c r="R501" s="345"/>
      <c r="S501" s="338" t="e">
        <f t="shared" si="151"/>
        <v>#DIV/0!</v>
      </c>
    </row>
    <row r="502" spans="1:19" ht="12.75" hidden="1">
      <c r="A502" s="12" t="s">
        <v>126</v>
      </c>
      <c r="B502" s="60"/>
      <c r="C502" s="79">
        <v>0</v>
      </c>
      <c r="D502" s="186"/>
      <c r="E502" s="157"/>
      <c r="F502" s="78">
        <f t="shared" si="171"/>
        <v>0</v>
      </c>
      <c r="G502" s="142"/>
      <c r="H502" s="209"/>
      <c r="I502" s="124">
        <f>F502+G502+H502</f>
        <v>0</v>
      </c>
      <c r="J502" s="142"/>
      <c r="K502" s="230"/>
      <c r="L502" s="279">
        <f>I502+J502+K502</f>
        <v>0</v>
      </c>
      <c r="M502" s="225"/>
      <c r="N502" s="185"/>
      <c r="O502" s="293">
        <f>L502+M502+N502</f>
        <v>0</v>
      </c>
      <c r="P502" s="323"/>
      <c r="Q502" s="329">
        <f>O502+P502</f>
        <v>0</v>
      </c>
      <c r="R502" s="345"/>
      <c r="S502" s="338" t="e">
        <f t="shared" si="151"/>
        <v>#DIV/0!</v>
      </c>
    </row>
    <row r="503" spans="1:19" ht="12.75">
      <c r="A503" s="12" t="s">
        <v>127</v>
      </c>
      <c r="B503" s="60"/>
      <c r="C503" s="79">
        <f aca="true" t="shared" si="172" ref="C503:R503">C504+C505</f>
        <v>1450</v>
      </c>
      <c r="D503" s="186">
        <f t="shared" si="172"/>
        <v>1848.19</v>
      </c>
      <c r="E503" s="157">
        <f t="shared" si="172"/>
        <v>0</v>
      </c>
      <c r="F503" s="78">
        <f t="shared" si="172"/>
        <v>3298.19</v>
      </c>
      <c r="G503" s="79">
        <f t="shared" si="172"/>
        <v>0</v>
      </c>
      <c r="H503" s="186">
        <f t="shared" si="172"/>
        <v>0</v>
      </c>
      <c r="I503" s="78">
        <f t="shared" si="172"/>
        <v>3298.19</v>
      </c>
      <c r="J503" s="142">
        <f t="shared" si="172"/>
        <v>0</v>
      </c>
      <c r="K503" s="231">
        <f t="shared" si="172"/>
        <v>0</v>
      </c>
      <c r="L503" s="279">
        <f t="shared" si="172"/>
        <v>3298.19</v>
      </c>
      <c r="M503" s="231">
        <f t="shared" si="172"/>
        <v>0</v>
      </c>
      <c r="N503" s="210">
        <f t="shared" si="172"/>
        <v>0</v>
      </c>
      <c r="O503" s="229">
        <f t="shared" si="172"/>
        <v>3298.19</v>
      </c>
      <c r="P503" s="79">
        <f t="shared" si="172"/>
        <v>0</v>
      </c>
      <c r="Q503" s="78">
        <f t="shared" si="172"/>
        <v>3298.19</v>
      </c>
      <c r="R503" s="353">
        <f t="shared" si="172"/>
        <v>2809.81</v>
      </c>
      <c r="S503" s="338">
        <f t="shared" si="151"/>
        <v>85.19248436263526</v>
      </c>
    </row>
    <row r="504" spans="1:19" ht="12.75">
      <c r="A504" s="12" t="s">
        <v>125</v>
      </c>
      <c r="B504" s="60"/>
      <c r="C504" s="79">
        <v>1450</v>
      </c>
      <c r="D504" s="186">
        <f>1288.3+559.89</f>
        <v>1848.19</v>
      </c>
      <c r="E504" s="157"/>
      <c r="F504" s="78">
        <f t="shared" si="171"/>
        <v>3298.19</v>
      </c>
      <c r="G504" s="142"/>
      <c r="H504" s="209"/>
      <c r="I504" s="124">
        <f>F504+G504+H504</f>
        <v>3298.19</v>
      </c>
      <c r="J504" s="142"/>
      <c r="K504" s="230"/>
      <c r="L504" s="279">
        <f>I504+J504+K504</f>
        <v>3298.19</v>
      </c>
      <c r="M504" s="225"/>
      <c r="N504" s="185"/>
      <c r="O504" s="293">
        <f>L504+M504+N504</f>
        <v>3298.19</v>
      </c>
      <c r="P504" s="323"/>
      <c r="Q504" s="329">
        <f>O504+P504</f>
        <v>3298.19</v>
      </c>
      <c r="R504" s="345">
        <v>2809.81</v>
      </c>
      <c r="S504" s="338">
        <f t="shared" si="151"/>
        <v>85.19248436263526</v>
      </c>
    </row>
    <row r="505" spans="1:19" ht="12.75" hidden="1">
      <c r="A505" s="12" t="s">
        <v>126</v>
      </c>
      <c r="B505" s="60"/>
      <c r="C505" s="79"/>
      <c r="D505" s="186">
        <f>559.89-559.89</f>
        <v>0</v>
      </c>
      <c r="E505" s="157"/>
      <c r="F505" s="78">
        <f t="shared" si="171"/>
        <v>0</v>
      </c>
      <c r="G505" s="142"/>
      <c r="H505" s="209"/>
      <c r="I505" s="124">
        <f>F505+G505+H505</f>
        <v>0</v>
      </c>
      <c r="J505" s="142"/>
      <c r="K505" s="230"/>
      <c r="L505" s="279">
        <f>I505+J505+K505</f>
        <v>0</v>
      </c>
      <c r="M505" s="225"/>
      <c r="N505" s="185"/>
      <c r="O505" s="293">
        <f>L505+M505+N505</f>
        <v>0</v>
      </c>
      <c r="P505" s="323"/>
      <c r="Q505" s="329">
        <f>O505+P505</f>
        <v>0</v>
      </c>
      <c r="R505" s="345"/>
      <c r="S505" s="338" t="e">
        <f t="shared" si="151"/>
        <v>#DIV/0!</v>
      </c>
    </row>
    <row r="506" spans="1:19" ht="12.75" hidden="1">
      <c r="A506" s="13" t="s">
        <v>212</v>
      </c>
      <c r="B506" s="60"/>
      <c r="C506" s="79">
        <f>C507</f>
        <v>0</v>
      </c>
      <c r="D506" s="186">
        <f>D507</f>
        <v>0</v>
      </c>
      <c r="E506" s="157">
        <f>E507</f>
        <v>0</v>
      </c>
      <c r="F506" s="78">
        <f>F507</f>
        <v>0</v>
      </c>
      <c r="G506" s="142"/>
      <c r="H506" s="209"/>
      <c r="I506" s="124"/>
      <c r="J506" s="142"/>
      <c r="K506" s="230"/>
      <c r="L506" s="279"/>
      <c r="M506" s="225"/>
      <c r="N506" s="185"/>
      <c r="O506" s="293"/>
      <c r="P506" s="323"/>
      <c r="Q506" s="329"/>
      <c r="R506" s="345"/>
      <c r="S506" s="338" t="e">
        <f t="shared" si="151"/>
        <v>#DIV/0!</v>
      </c>
    </row>
    <row r="507" spans="1:19" ht="12.75" hidden="1">
      <c r="A507" s="13" t="s">
        <v>213</v>
      </c>
      <c r="B507" s="60"/>
      <c r="C507" s="79"/>
      <c r="D507" s="186"/>
      <c r="E507" s="157"/>
      <c r="F507" s="78">
        <f t="shared" si="171"/>
        <v>0</v>
      </c>
      <c r="G507" s="142"/>
      <c r="H507" s="209"/>
      <c r="I507" s="124"/>
      <c r="J507" s="142"/>
      <c r="K507" s="230"/>
      <c r="L507" s="279"/>
      <c r="M507" s="225"/>
      <c r="N507" s="185"/>
      <c r="O507" s="293"/>
      <c r="P507" s="323"/>
      <c r="Q507" s="329"/>
      <c r="R507" s="345"/>
      <c r="S507" s="338" t="e">
        <f t="shared" si="151"/>
        <v>#DIV/0!</v>
      </c>
    </row>
    <row r="508" spans="1:19" ht="12.75">
      <c r="A508" s="12" t="s">
        <v>128</v>
      </c>
      <c r="B508" s="60"/>
      <c r="C508" s="79">
        <f aca="true" t="shared" si="173" ref="C508:R508">SUM(C509:C512)</f>
        <v>24000</v>
      </c>
      <c r="D508" s="186">
        <f t="shared" si="173"/>
        <v>112933.51000000001</v>
      </c>
      <c r="E508" s="157">
        <f t="shared" si="173"/>
        <v>0</v>
      </c>
      <c r="F508" s="78">
        <f t="shared" si="173"/>
        <v>136933.50999999998</v>
      </c>
      <c r="G508" s="79">
        <f t="shared" si="173"/>
        <v>9773.35</v>
      </c>
      <c r="H508" s="186">
        <f t="shared" si="173"/>
        <v>0</v>
      </c>
      <c r="I508" s="78">
        <f t="shared" si="173"/>
        <v>146706.86</v>
      </c>
      <c r="J508" s="142">
        <f t="shared" si="173"/>
        <v>-36390</v>
      </c>
      <c r="K508" s="231">
        <f t="shared" si="173"/>
        <v>0</v>
      </c>
      <c r="L508" s="279">
        <f t="shared" si="173"/>
        <v>110316.86</v>
      </c>
      <c r="M508" s="231">
        <f t="shared" si="173"/>
        <v>-11600</v>
      </c>
      <c r="N508" s="210">
        <f t="shared" si="173"/>
        <v>0</v>
      </c>
      <c r="O508" s="229">
        <f t="shared" si="173"/>
        <v>98716.86</v>
      </c>
      <c r="P508" s="79">
        <f t="shared" si="173"/>
        <v>1834.41</v>
      </c>
      <c r="Q508" s="78">
        <f t="shared" si="173"/>
        <v>100551.27</v>
      </c>
      <c r="R508" s="353">
        <f t="shared" si="173"/>
        <v>80348.70999999999</v>
      </c>
      <c r="S508" s="338">
        <f t="shared" si="151"/>
        <v>79.90820006549892</v>
      </c>
    </row>
    <row r="509" spans="1:19" ht="12.75">
      <c r="A509" s="12" t="s">
        <v>129</v>
      </c>
      <c r="B509" s="60"/>
      <c r="C509" s="79">
        <v>0</v>
      </c>
      <c r="D509" s="186"/>
      <c r="E509" s="157"/>
      <c r="F509" s="78">
        <f t="shared" si="171"/>
        <v>0</v>
      </c>
      <c r="G509" s="142"/>
      <c r="H509" s="210"/>
      <c r="I509" s="124">
        <f>F509+G509+H509</f>
        <v>0</v>
      </c>
      <c r="J509" s="142"/>
      <c r="K509" s="231"/>
      <c r="L509" s="279">
        <f>I509+J509+K509</f>
        <v>0</v>
      </c>
      <c r="M509" s="225"/>
      <c r="N509" s="186"/>
      <c r="O509" s="293">
        <f>L509+M509+N509</f>
        <v>0</v>
      </c>
      <c r="P509" s="323"/>
      <c r="Q509" s="329">
        <f>O509+P509</f>
        <v>0</v>
      </c>
      <c r="R509" s="345"/>
      <c r="S509" s="361" t="s">
        <v>400</v>
      </c>
    </row>
    <row r="510" spans="1:19" ht="12.75">
      <c r="A510" s="12" t="s">
        <v>130</v>
      </c>
      <c r="B510" s="60"/>
      <c r="C510" s="79">
        <v>24000</v>
      </c>
      <c r="D510" s="187">
        <f>36629.6+50000+24580.31</f>
        <v>111209.91</v>
      </c>
      <c r="E510" s="165"/>
      <c r="F510" s="78">
        <f t="shared" si="171"/>
        <v>135209.91</v>
      </c>
      <c r="G510" s="142">
        <f>31000-12645-9000</f>
        <v>9355</v>
      </c>
      <c r="H510" s="210"/>
      <c r="I510" s="124">
        <f>F510+G510+H510</f>
        <v>144564.91</v>
      </c>
      <c r="J510" s="142">
        <f>190-36580</f>
        <v>-36390</v>
      </c>
      <c r="K510" s="231"/>
      <c r="L510" s="279">
        <f>I510+J510+K510</f>
        <v>108174.91</v>
      </c>
      <c r="M510" s="225">
        <f>-11600</f>
        <v>-11600</v>
      </c>
      <c r="N510" s="186"/>
      <c r="O510" s="293">
        <f>L510+M510+N510</f>
        <v>96574.91</v>
      </c>
      <c r="P510" s="323">
        <f>1834.41</f>
        <v>1834.41</v>
      </c>
      <c r="Q510" s="329">
        <f>O510+P510</f>
        <v>98409.32</v>
      </c>
      <c r="R510" s="345">
        <v>79734.62</v>
      </c>
      <c r="S510" s="338">
        <f t="shared" si="151"/>
        <v>81.02344371447744</v>
      </c>
    </row>
    <row r="511" spans="1:19" ht="12.75">
      <c r="A511" s="12" t="s">
        <v>126</v>
      </c>
      <c r="B511" s="60"/>
      <c r="C511" s="79"/>
      <c r="D511" s="186">
        <f>1315.8-100</f>
        <v>1215.8</v>
      </c>
      <c r="E511" s="157"/>
      <c r="F511" s="78">
        <f t="shared" si="171"/>
        <v>1215.8</v>
      </c>
      <c r="G511" s="142">
        <f>418.35</f>
        <v>418.35</v>
      </c>
      <c r="H511" s="210"/>
      <c r="I511" s="124">
        <f>F511+G511+H511</f>
        <v>1634.15</v>
      </c>
      <c r="J511" s="142">
        <f>-634.15</f>
        <v>-634.15</v>
      </c>
      <c r="K511" s="231"/>
      <c r="L511" s="279">
        <f>I511+J511+K511</f>
        <v>1000.0000000000001</v>
      </c>
      <c r="M511" s="225"/>
      <c r="N511" s="186"/>
      <c r="O511" s="293">
        <f>L511+M511+N511</f>
        <v>1000.0000000000001</v>
      </c>
      <c r="P511" s="323"/>
      <c r="Q511" s="329">
        <f>O511+P511</f>
        <v>1000.0000000000001</v>
      </c>
      <c r="R511" s="345"/>
      <c r="S511" s="361" t="s">
        <v>400</v>
      </c>
    </row>
    <row r="512" spans="1:19" ht="12.75">
      <c r="A512" s="13" t="s">
        <v>158</v>
      </c>
      <c r="B512" s="60"/>
      <c r="C512" s="79"/>
      <c r="D512" s="186">
        <f>407.8+100</f>
        <v>507.8</v>
      </c>
      <c r="E512" s="157"/>
      <c r="F512" s="78">
        <f t="shared" si="171"/>
        <v>507.8</v>
      </c>
      <c r="G512" s="142"/>
      <c r="H512" s="210"/>
      <c r="I512" s="124">
        <f>F512+G512+H512</f>
        <v>507.8</v>
      </c>
      <c r="J512" s="142">
        <f>634.15</f>
        <v>634.15</v>
      </c>
      <c r="K512" s="231"/>
      <c r="L512" s="279">
        <f>I512+J512+K512</f>
        <v>1141.95</v>
      </c>
      <c r="M512" s="225"/>
      <c r="N512" s="186"/>
      <c r="O512" s="293">
        <f>L512+M512+N512</f>
        <v>1141.95</v>
      </c>
      <c r="P512" s="323"/>
      <c r="Q512" s="329">
        <f>O512+P512</f>
        <v>1141.95</v>
      </c>
      <c r="R512" s="345">
        <v>614.09</v>
      </c>
      <c r="S512" s="338">
        <f t="shared" si="151"/>
        <v>53.775559350234246</v>
      </c>
    </row>
    <row r="513" spans="1:19" ht="12.75">
      <c r="A513" s="12" t="s">
        <v>131</v>
      </c>
      <c r="B513" s="60"/>
      <c r="C513" s="79">
        <f aca="true" t="shared" si="174" ref="C513:R513">C514+C515+C516</f>
        <v>29120</v>
      </c>
      <c r="D513" s="186">
        <f t="shared" si="174"/>
        <v>14993</v>
      </c>
      <c r="E513" s="157">
        <f t="shared" si="174"/>
        <v>0</v>
      </c>
      <c r="F513" s="78">
        <f t="shared" si="174"/>
        <v>44113</v>
      </c>
      <c r="G513" s="79">
        <f t="shared" si="174"/>
        <v>184.24</v>
      </c>
      <c r="H513" s="186">
        <f t="shared" si="174"/>
        <v>0</v>
      </c>
      <c r="I513" s="78">
        <f t="shared" si="174"/>
        <v>44297.24</v>
      </c>
      <c r="J513" s="142">
        <f t="shared" si="174"/>
        <v>0</v>
      </c>
      <c r="K513" s="231">
        <f t="shared" si="174"/>
        <v>0</v>
      </c>
      <c r="L513" s="279">
        <f t="shared" si="174"/>
        <v>44297.24</v>
      </c>
      <c r="M513" s="231">
        <f t="shared" si="174"/>
        <v>0</v>
      </c>
      <c r="N513" s="210">
        <f t="shared" si="174"/>
        <v>0</v>
      </c>
      <c r="O513" s="229">
        <f t="shared" si="174"/>
        <v>44297.24</v>
      </c>
      <c r="P513" s="79">
        <f t="shared" si="174"/>
        <v>0</v>
      </c>
      <c r="Q513" s="78">
        <f t="shared" si="174"/>
        <v>44297.24</v>
      </c>
      <c r="R513" s="353">
        <f t="shared" si="174"/>
        <v>14347.199999999999</v>
      </c>
      <c r="S513" s="338">
        <f t="shared" si="151"/>
        <v>32.3884738642859</v>
      </c>
    </row>
    <row r="514" spans="1:19" ht="12.75">
      <c r="A514" s="12" t="s">
        <v>132</v>
      </c>
      <c r="B514" s="60"/>
      <c r="C514" s="79">
        <v>1370</v>
      </c>
      <c r="D514" s="186">
        <f>738</f>
        <v>738</v>
      </c>
      <c r="E514" s="157"/>
      <c r="F514" s="78">
        <f t="shared" si="171"/>
        <v>2108</v>
      </c>
      <c r="G514" s="142">
        <f>-1002+304.24-120</f>
        <v>-817.76</v>
      </c>
      <c r="H514" s="210"/>
      <c r="I514" s="124">
        <f>F514+G514+H514</f>
        <v>1290.24</v>
      </c>
      <c r="J514" s="142"/>
      <c r="K514" s="231"/>
      <c r="L514" s="279">
        <f>I514+J514+K514</f>
        <v>1290.24</v>
      </c>
      <c r="M514" s="225"/>
      <c r="N514" s="186"/>
      <c r="O514" s="293">
        <f>L514+M514+N514</f>
        <v>1290.24</v>
      </c>
      <c r="P514" s="323"/>
      <c r="Q514" s="329">
        <f>O514+P514</f>
        <v>1290.24</v>
      </c>
      <c r="R514" s="345">
        <v>1234.07</v>
      </c>
      <c r="S514" s="338">
        <f t="shared" si="151"/>
        <v>95.64654637896824</v>
      </c>
    </row>
    <row r="515" spans="1:19" ht="12.75">
      <c r="A515" s="12" t="s">
        <v>130</v>
      </c>
      <c r="B515" s="60"/>
      <c r="C515" s="79">
        <v>27750</v>
      </c>
      <c r="D515" s="186">
        <f>14855-600</f>
        <v>14255</v>
      </c>
      <c r="E515" s="157"/>
      <c r="F515" s="78">
        <f t="shared" si="171"/>
        <v>42005</v>
      </c>
      <c r="G515" s="142">
        <f>1002</f>
        <v>1002</v>
      </c>
      <c r="H515" s="210"/>
      <c r="I515" s="124">
        <f>F515+G515+H515</f>
        <v>43007</v>
      </c>
      <c r="J515" s="142"/>
      <c r="K515" s="231"/>
      <c r="L515" s="279">
        <f>I515+J515+K515</f>
        <v>43007</v>
      </c>
      <c r="M515" s="225"/>
      <c r="N515" s="186"/>
      <c r="O515" s="293">
        <f>L515+M515+N515</f>
        <v>43007</v>
      </c>
      <c r="P515" s="323"/>
      <c r="Q515" s="329">
        <f>O515+P515</f>
        <v>43007</v>
      </c>
      <c r="R515" s="345">
        <v>13113.13</v>
      </c>
      <c r="S515" s="338">
        <f t="shared" si="151"/>
        <v>30.490687562489825</v>
      </c>
    </row>
    <row r="516" spans="1:19" ht="12.75" customHeight="1" hidden="1">
      <c r="A516" s="12" t="s">
        <v>126</v>
      </c>
      <c r="B516" s="60"/>
      <c r="C516" s="79"/>
      <c r="D516" s="186"/>
      <c r="E516" s="157"/>
      <c r="F516" s="78">
        <f t="shared" si="171"/>
        <v>0</v>
      </c>
      <c r="G516" s="142"/>
      <c r="H516" s="210"/>
      <c r="I516" s="124">
        <f>F516+G516+H516</f>
        <v>0</v>
      </c>
      <c r="J516" s="142"/>
      <c r="K516" s="231"/>
      <c r="L516" s="279">
        <f>I516+J516+K516</f>
        <v>0</v>
      </c>
      <c r="M516" s="225"/>
      <c r="N516" s="186"/>
      <c r="O516" s="293">
        <f>L516+M516+N516</f>
        <v>0</v>
      </c>
      <c r="P516" s="323"/>
      <c r="Q516" s="329">
        <f>O516+P516</f>
        <v>0</v>
      </c>
      <c r="R516" s="345"/>
      <c r="S516" s="338" t="e">
        <f t="shared" si="151"/>
        <v>#DIV/0!</v>
      </c>
    </row>
    <row r="517" spans="1:19" ht="12.75">
      <c r="A517" s="12" t="s">
        <v>133</v>
      </c>
      <c r="B517" s="60"/>
      <c r="C517" s="79">
        <f aca="true" t="shared" si="175" ref="C517:R517">SUM(C518:C522)</f>
        <v>44000</v>
      </c>
      <c r="D517" s="186">
        <f t="shared" si="175"/>
        <v>27368</v>
      </c>
      <c r="E517" s="157">
        <f t="shared" si="175"/>
        <v>0</v>
      </c>
      <c r="F517" s="78">
        <f t="shared" si="175"/>
        <v>71368</v>
      </c>
      <c r="G517" s="79">
        <f t="shared" si="175"/>
        <v>30683.93</v>
      </c>
      <c r="H517" s="186">
        <f t="shared" si="175"/>
        <v>0</v>
      </c>
      <c r="I517" s="78">
        <f t="shared" si="175"/>
        <v>102051.93</v>
      </c>
      <c r="J517" s="142">
        <f t="shared" si="175"/>
        <v>10880</v>
      </c>
      <c r="K517" s="231">
        <f t="shared" si="175"/>
        <v>0</v>
      </c>
      <c r="L517" s="279">
        <f t="shared" si="175"/>
        <v>112931.93</v>
      </c>
      <c r="M517" s="231">
        <f t="shared" si="175"/>
        <v>1217</v>
      </c>
      <c r="N517" s="210">
        <f t="shared" si="175"/>
        <v>0</v>
      </c>
      <c r="O517" s="229">
        <f t="shared" si="175"/>
        <v>114148.93</v>
      </c>
      <c r="P517" s="79">
        <f t="shared" si="175"/>
        <v>0</v>
      </c>
      <c r="Q517" s="78">
        <f t="shared" si="175"/>
        <v>114148.93</v>
      </c>
      <c r="R517" s="353">
        <f t="shared" si="175"/>
        <v>79489.22</v>
      </c>
      <c r="S517" s="338">
        <f t="shared" si="151"/>
        <v>69.63641271100833</v>
      </c>
    </row>
    <row r="518" spans="1:19" ht="12.75">
      <c r="A518" s="12" t="s">
        <v>134</v>
      </c>
      <c r="B518" s="60"/>
      <c r="C518" s="79">
        <v>13300</v>
      </c>
      <c r="D518" s="187">
        <f>-1000+2310+6850+1925+250</f>
        <v>10335</v>
      </c>
      <c r="E518" s="165"/>
      <c r="F518" s="78">
        <f t="shared" si="171"/>
        <v>23635</v>
      </c>
      <c r="G518" s="142">
        <f>333.93-36-250+20260-300</f>
        <v>20007.93</v>
      </c>
      <c r="H518" s="210"/>
      <c r="I518" s="124">
        <f>F518+G518+H518</f>
        <v>43642.93</v>
      </c>
      <c r="J518" s="142">
        <f>880+20+7550</f>
        <v>8450</v>
      </c>
      <c r="K518" s="231"/>
      <c r="L518" s="279">
        <f>I518+J518+K518</f>
        <v>52092.93</v>
      </c>
      <c r="M518" s="225">
        <f>-158+400</f>
        <v>242</v>
      </c>
      <c r="N518" s="186"/>
      <c r="O518" s="293">
        <f>L518+M518+N518</f>
        <v>52334.93</v>
      </c>
      <c r="P518" s="323">
        <f>94</f>
        <v>94</v>
      </c>
      <c r="Q518" s="329">
        <f aca="true" t="shared" si="176" ref="Q518:Q560">O518+P518</f>
        <v>52428.93</v>
      </c>
      <c r="R518" s="345">
        <v>40511.65</v>
      </c>
      <c r="S518" s="338">
        <f t="shared" si="151"/>
        <v>77.2696486462722</v>
      </c>
    </row>
    <row r="519" spans="1:19" ht="12.75">
      <c r="A519" s="12" t="s">
        <v>135</v>
      </c>
      <c r="B519" s="60"/>
      <c r="C519" s="79">
        <v>15700</v>
      </c>
      <c r="D519" s="186">
        <f>130+1000+5848+4450-2000</f>
        <v>9428</v>
      </c>
      <c r="E519" s="157"/>
      <c r="F519" s="78">
        <f t="shared" si="171"/>
        <v>25128</v>
      </c>
      <c r="G519" s="142">
        <f>36+8740+300</f>
        <v>9076</v>
      </c>
      <c r="H519" s="210"/>
      <c r="I519" s="124">
        <f>F519+G519+H519</f>
        <v>34204</v>
      </c>
      <c r="J519" s="142">
        <f>-20+2450</f>
        <v>2430</v>
      </c>
      <c r="K519" s="231"/>
      <c r="L519" s="279">
        <f>I519+J519+K519</f>
        <v>36634</v>
      </c>
      <c r="M519" s="225">
        <f>975</f>
        <v>975</v>
      </c>
      <c r="N519" s="186"/>
      <c r="O519" s="293">
        <f>L519+M519+N519</f>
        <v>37609</v>
      </c>
      <c r="P519" s="323">
        <f>-94</f>
        <v>-94</v>
      </c>
      <c r="Q519" s="329">
        <f t="shared" si="176"/>
        <v>37515</v>
      </c>
      <c r="R519" s="345">
        <v>28617.23</v>
      </c>
      <c r="S519" s="338">
        <f t="shared" si="151"/>
        <v>76.28210049313607</v>
      </c>
    </row>
    <row r="520" spans="1:19" ht="13.5" customHeight="1">
      <c r="A520" s="12" t="s">
        <v>136</v>
      </c>
      <c r="B520" s="60"/>
      <c r="C520" s="79">
        <v>12000</v>
      </c>
      <c r="D520" s="186">
        <f>5000+75</f>
        <v>5075</v>
      </c>
      <c r="E520" s="157"/>
      <c r="F520" s="78">
        <f t="shared" si="171"/>
        <v>17075</v>
      </c>
      <c r="G520" s="142">
        <f>600+750+250</f>
        <v>1600</v>
      </c>
      <c r="H520" s="210"/>
      <c r="I520" s="124">
        <f>F520+G520+H520</f>
        <v>18675</v>
      </c>
      <c r="J520" s="142"/>
      <c r="K520" s="231"/>
      <c r="L520" s="279">
        <f>I520+J520+K520</f>
        <v>18675</v>
      </c>
      <c r="M520" s="225"/>
      <c r="N520" s="186"/>
      <c r="O520" s="293">
        <f>L520+M520+N520</f>
        <v>18675</v>
      </c>
      <c r="P520" s="323"/>
      <c r="Q520" s="329">
        <f t="shared" si="176"/>
        <v>18675</v>
      </c>
      <c r="R520" s="345">
        <v>5226.26</v>
      </c>
      <c r="S520" s="338">
        <f t="shared" si="151"/>
        <v>27.985327978580994</v>
      </c>
    </row>
    <row r="521" spans="1:19" ht="13.5" customHeight="1">
      <c r="A521" s="13" t="s">
        <v>158</v>
      </c>
      <c r="B521" s="60"/>
      <c r="C521" s="79">
        <v>3000</v>
      </c>
      <c r="D521" s="186">
        <f>1830+700</f>
        <v>2530</v>
      </c>
      <c r="E521" s="157"/>
      <c r="F521" s="78">
        <f t="shared" si="171"/>
        <v>5530</v>
      </c>
      <c r="G521" s="142"/>
      <c r="H521" s="210"/>
      <c r="I521" s="124">
        <f>F521+G521+H521</f>
        <v>5530</v>
      </c>
      <c r="J521" s="142"/>
      <c r="K521" s="231"/>
      <c r="L521" s="279">
        <f>I521+J521+K521</f>
        <v>5530</v>
      </c>
      <c r="M521" s="225"/>
      <c r="N521" s="186"/>
      <c r="O521" s="293">
        <f>L521+M521+N521</f>
        <v>5530</v>
      </c>
      <c r="P521" s="323"/>
      <c r="Q521" s="329">
        <f t="shared" si="176"/>
        <v>5530</v>
      </c>
      <c r="R521" s="345">
        <v>5134.08</v>
      </c>
      <c r="S521" s="338">
        <f t="shared" si="151"/>
        <v>92.84050632911392</v>
      </c>
    </row>
    <row r="522" spans="1:19" ht="12.75" hidden="1">
      <c r="A522" s="12" t="s">
        <v>137</v>
      </c>
      <c r="B522" s="60"/>
      <c r="C522" s="79"/>
      <c r="D522" s="186"/>
      <c r="E522" s="157"/>
      <c r="F522" s="78">
        <f t="shared" si="171"/>
        <v>0</v>
      </c>
      <c r="G522" s="142"/>
      <c r="H522" s="210"/>
      <c r="I522" s="124">
        <f>F522+G522+H522</f>
        <v>0</v>
      </c>
      <c r="J522" s="142"/>
      <c r="K522" s="231"/>
      <c r="L522" s="279">
        <f>I522+J522+K522</f>
        <v>0</v>
      </c>
      <c r="M522" s="225"/>
      <c r="N522" s="186"/>
      <c r="O522" s="293">
        <f>L522+M522+N522</f>
        <v>0</v>
      </c>
      <c r="P522" s="323"/>
      <c r="Q522" s="329">
        <f t="shared" si="176"/>
        <v>0</v>
      </c>
      <c r="R522" s="345"/>
      <c r="S522" s="338" t="e">
        <f t="shared" si="151"/>
        <v>#DIV/0!</v>
      </c>
    </row>
    <row r="523" spans="1:19" ht="12.75">
      <c r="A523" s="12" t="s">
        <v>138</v>
      </c>
      <c r="B523" s="60"/>
      <c r="C523" s="79">
        <f aca="true" t="shared" si="177" ref="C523:R523">SUM(C524:C530)</f>
        <v>75875</v>
      </c>
      <c r="D523" s="186">
        <f t="shared" si="177"/>
        <v>106867.72999999998</v>
      </c>
      <c r="E523" s="157">
        <f t="shared" si="177"/>
        <v>0</v>
      </c>
      <c r="F523" s="78">
        <f t="shared" si="177"/>
        <v>182742.72999999998</v>
      </c>
      <c r="G523" s="79">
        <f t="shared" si="177"/>
        <v>24404.390000000003</v>
      </c>
      <c r="H523" s="186">
        <f t="shared" si="177"/>
        <v>0</v>
      </c>
      <c r="I523" s="124">
        <f t="shared" si="177"/>
        <v>207147.11999999997</v>
      </c>
      <c r="J523" s="142">
        <f t="shared" si="177"/>
        <v>6808.4</v>
      </c>
      <c r="K523" s="231">
        <f t="shared" si="177"/>
        <v>0</v>
      </c>
      <c r="L523" s="279">
        <f t="shared" si="177"/>
        <v>213955.52</v>
      </c>
      <c r="M523" s="231">
        <f t="shared" si="177"/>
        <v>0</v>
      </c>
      <c r="N523" s="210">
        <f t="shared" si="177"/>
        <v>7300</v>
      </c>
      <c r="O523" s="229">
        <f t="shared" si="177"/>
        <v>221255.52</v>
      </c>
      <c r="P523" s="79">
        <f t="shared" si="177"/>
        <v>0</v>
      </c>
      <c r="Q523" s="78">
        <f t="shared" si="177"/>
        <v>221255.52</v>
      </c>
      <c r="R523" s="353">
        <f t="shared" si="177"/>
        <v>61366.71</v>
      </c>
      <c r="S523" s="338">
        <f t="shared" si="151"/>
        <v>27.735674120130426</v>
      </c>
    </row>
    <row r="524" spans="1:19" ht="12.75">
      <c r="A524" s="12" t="s">
        <v>139</v>
      </c>
      <c r="B524" s="60"/>
      <c r="C524" s="79">
        <v>54179</v>
      </c>
      <c r="D524" s="186">
        <f>53934.13</f>
        <v>53934.13</v>
      </c>
      <c r="E524" s="157"/>
      <c r="F524" s="78">
        <f t="shared" si="171"/>
        <v>108113.13</v>
      </c>
      <c r="G524" s="142">
        <f>-1545-2214.41+26000+10154.1</f>
        <v>32394.690000000002</v>
      </c>
      <c r="H524" s="210"/>
      <c r="I524" s="124">
        <f aca="true" t="shared" si="178" ref="I524:I530">F524+G524+H524</f>
        <v>140507.82</v>
      </c>
      <c r="J524" s="142">
        <f>800+3027.2+240+7500+1000+6300+1500+210-70+3345</f>
        <v>23852.2</v>
      </c>
      <c r="K524" s="231"/>
      <c r="L524" s="279">
        <f aca="true" t="shared" si="179" ref="L524:L530">I524+J524+K524</f>
        <v>164360.02000000002</v>
      </c>
      <c r="M524" s="225">
        <f>-750</f>
        <v>-750</v>
      </c>
      <c r="N524" s="186">
        <v>300</v>
      </c>
      <c r="O524" s="293">
        <f aca="true" t="shared" si="180" ref="O524:O530">L524+M524+N524</f>
        <v>163910.02000000002</v>
      </c>
      <c r="P524" s="323"/>
      <c r="Q524" s="329">
        <f t="shared" si="176"/>
        <v>163910.02000000002</v>
      </c>
      <c r="R524" s="345">
        <v>41647.56</v>
      </c>
      <c r="S524" s="338">
        <f t="shared" si="151"/>
        <v>25.408794410494238</v>
      </c>
    </row>
    <row r="525" spans="1:19" ht="12.75" hidden="1">
      <c r="A525" s="12" t="s">
        <v>140</v>
      </c>
      <c r="B525" s="60"/>
      <c r="C525" s="79">
        <v>0</v>
      </c>
      <c r="D525" s="186"/>
      <c r="E525" s="157"/>
      <c r="F525" s="78">
        <f t="shared" si="171"/>
        <v>0</v>
      </c>
      <c r="G525" s="142"/>
      <c r="H525" s="210"/>
      <c r="I525" s="124">
        <f t="shared" si="178"/>
        <v>0</v>
      </c>
      <c r="J525" s="142"/>
      <c r="K525" s="231"/>
      <c r="L525" s="279">
        <f t="shared" si="179"/>
        <v>0</v>
      </c>
      <c r="M525" s="225"/>
      <c r="N525" s="186"/>
      <c r="O525" s="293">
        <f t="shared" si="180"/>
        <v>0</v>
      </c>
      <c r="P525" s="323"/>
      <c r="Q525" s="329">
        <f t="shared" si="176"/>
        <v>0</v>
      </c>
      <c r="R525" s="345"/>
      <c r="S525" s="338" t="e">
        <f t="shared" si="151"/>
        <v>#DIV/0!</v>
      </c>
    </row>
    <row r="526" spans="1:19" ht="12.75" hidden="1">
      <c r="A526" s="12" t="s">
        <v>141</v>
      </c>
      <c r="B526" s="60"/>
      <c r="C526" s="79"/>
      <c r="D526" s="187"/>
      <c r="E526" s="165"/>
      <c r="F526" s="78">
        <f t="shared" si="171"/>
        <v>0</v>
      </c>
      <c r="G526" s="142"/>
      <c r="H526" s="210"/>
      <c r="I526" s="124">
        <f t="shared" si="178"/>
        <v>0</v>
      </c>
      <c r="J526" s="142"/>
      <c r="K526" s="231"/>
      <c r="L526" s="279">
        <f t="shared" si="179"/>
        <v>0</v>
      </c>
      <c r="M526" s="225"/>
      <c r="N526" s="186"/>
      <c r="O526" s="293">
        <f t="shared" si="180"/>
        <v>0</v>
      </c>
      <c r="P526" s="323"/>
      <c r="Q526" s="329">
        <f t="shared" si="176"/>
        <v>0</v>
      </c>
      <c r="R526" s="345"/>
      <c r="S526" s="338" t="e">
        <f t="shared" si="151"/>
        <v>#DIV/0!</v>
      </c>
    </row>
    <row r="527" spans="1:19" ht="12.75">
      <c r="A527" s="12" t="s">
        <v>142</v>
      </c>
      <c r="B527" s="60"/>
      <c r="C527" s="79">
        <v>796</v>
      </c>
      <c r="D527" s="186">
        <f>36012.67</f>
        <v>36012.67</v>
      </c>
      <c r="E527" s="157"/>
      <c r="F527" s="78">
        <f t="shared" si="171"/>
        <v>36808.67</v>
      </c>
      <c r="G527" s="142"/>
      <c r="H527" s="210"/>
      <c r="I527" s="124">
        <f t="shared" si="178"/>
        <v>36808.67</v>
      </c>
      <c r="J527" s="142">
        <f>-8000</f>
        <v>-8000</v>
      </c>
      <c r="K527" s="231"/>
      <c r="L527" s="279">
        <f t="shared" si="179"/>
        <v>28808.67</v>
      </c>
      <c r="M527" s="225"/>
      <c r="N527" s="186">
        <v>7000</v>
      </c>
      <c r="O527" s="293">
        <f t="shared" si="180"/>
        <v>35808.67</v>
      </c>
      <c r="P527" s="323"/>
      <c r="Q527" s="329">
        <f t="shared" si="176"/>
        <v>35808.67</v>
      </c>
      <c r="R527" s="345">
        <v>11306.32</v>
      </c>
      <c r="S527" s="338">
        <f aca="true" t="shared" si="181" ref="S527:S560">R527/Q527*100</f>
        <v>31.574252827597338</v>
      </c>
    </row>
    <row r="528" spans="1:19" ht="12.75">
      <c r="A528" s="12" t="s">
        <v>143</v>
      </c>
      <c r="B528" s="60"/>
      <c r="C528" s="79">
        <v>0</v>
      </c>
      <c r="D528" s="186">
        <f>5845.4</f>
        <v>5845.4</v>
      </c>
      <c r="E528" s="157"/>
      <c r="F528" s="78">
        <f t="shared" si="171"/>
        <v>5845.4</v>
      </c>
      <c r="G528" s="142"/>
      <c r="H528" s="210"/>
      <c r="I528" s="124">
        <f t="shared" si="178"/>
        <v>5845.4</v>
      </c>
      <c r="J528" s="262">
        <f>-401.5</f>
        <v>-401.5</v>
      </c>
      <c r="K528" s="231"/>
      <c r="L528" s="279">
        <f t="shared" si="179"/>
        <v>5443.9</v>
      </c>
      <c r="M528" s="225"/>
      <c r="N528" s="186"/>
      <c r="O528" s="293">
        <f t="shared" si="180"/>
        <v>5443.9</v>
      </c>
      <c r="P528" s="323"/>
      <c r="Q528" s="329">
        <f t="shared" si="176"/>
        <v>5443.9</v>
      </c>
      <c r="R528" s="345"/>
      <c r="S528" s="361" t="s">
        <v>400</v>
      </c>
    </row>
    <row r="529" spans="1:19" ht="12.75">
      <c r="A529" s="12" t="s">
        <v>144</v>
      </c>
      <c r="B529" s="60"/>
      <c r="C529" s="79">
        <v>15900</v>
      </c>
      <c r="D529" s="186">
        <f>10355.99</f>
        <v>10355.99</v>
      </c>
      <c r="E529" s="157"/>
      <c r="F529" s="78">
        <f t="shared" si="171"/>
        <v>26255.989999999998</v>
      </c>
      <c r="G529" s="142">
        <f>1545-10154.1</f>
        <v>-8609.1</v>
      </c>
      <c r="H529" s="210"/>
      <c r="I529" s="124">
        <f t="shared" si="178"/>
        <v>17646.89</v>
      </c>
      <c r="J529" s="142">
        <f>-3027.2-240</f>
        <v>-3267.2</v>
      </c>
      <c r="K529" s="231"/>
      <c r="L529" s="279">
        <f t="shared" si="179"/>
        <v>14379.689999999999</v>
      </c>
      <c r="M529" s="225">
        <f>750</f>
        <v>750</v>
      </c>
      <c r="N529" s="186"/>
      <c r="O529" s="293">
        <f t="shared" si="180"/>
        <v>15129.689999999999</v>
      </c>
      <c r="P529" s="323"/>
      <c r="Q529" s="329">
        <f t="shared" si="176"/>
        <v>15129.689999999999</v>
      </c>
      <c r="R529" s="345">
        <v>8412.83</v>
      </c>
      <c r="S529" s="338">
        <f t="shared" si="181"/>
        <v>55.60477445340916</v>
      </c>
    </row>
    <row r="530" spans="1:19" ht="12.75">
      <c r="A530" s="12" t="s">
        <v>137</v>
      </c>
      <c r="B530" s="60"/>
      <c r="C530" s="79">
        <v>5000</v>
      </c>
      <c r="D530" s="186">
        <f>719.54</f>
        <v>719.54</v>
      </c>
      <c r="E530" s="157"/>
      <c r="F530" s="78">
        <f t="shared" si="171"/>
        <v>5719.54</v>
      </c>
      <c r="G530" s="142">
        <f>618.8</f>
        <v>618.8</v>
      </c>
      <c r="H530" s="210"/>
      <c r="I530" s="124">
        <f t="shared" si="178"/>
        <v>6338.34</v>
      </c>
      <c r="J530" s="142">
        <f>-800-1500+269.9-3345</f>
        <v>-5375.1</v>
      </c>
      <c r="K530" s="231"/>
      <c r="L530" s="279">
        <f t="shared" si="179"/>
        <v>963.2399999999998</v>
      </c>
      <c r="M530" s="225"/>
      <c r="N530" s="186"/>
      <c r="O530" s="293">
        <f t="shared" si="180"/>
        <v>963.2399999999998</v>
      </c>
      <c r="P530" s="323"/>
      <c r="Q530" s="329">
        <f t="shared" si="176"/>
        <v>963.2399999999998</v>
      </c>
      <c r="R530" s="345"/>
      <c r="S530" s="361" t="s">
        <v>400</v>
      </c>
    </row>
    <row r="531" spans="1:19" ht="12.75">
      <c r="A531" s="12" t="s">
        <v>145</v>
      </c>
      <c r="B531" s="60"/>
      <c r="C531" s="79">
        <f aca="true" t="shared" si="182" ref="C531:R531">SUM(C532:C535)</f>
        <v>3000</v>
      </c>
      <c r="D531" s="186">
        <f t="shared" si="182"/>
        <v>3981.21</v>
      </c>
      <c r="E531" s="157">
        <f t="shared" si="182"/>
        <v>0</v>
      </c>
      <c r="F531" s="78">
        <f t="shared" si="182"/>
        <v>6981.21</v>
      </c>
      <c r="G531" s="79">
        <f t="shared" si="182"/>
        <v>100</v>
      </c>
      <c r="H531" s="186">
        <f t="shared" si="182"/>
        <v>0</v>
      </c>
      <c r="I531" s="124">
        <f t="shared" si="182"/>
        <v>7081.21</v>
      </c>
      <c r="J531" s="142">
        <f t="shared" si="182"/>
        <v>0</v>
      </c>
      <c r="K531" s="231">
        <f t="shared" si="182"/>
        <v>0</v>
      </c>
      <c r="L531" s="279">
        <f t="shared" si="182"/>
        <v>7081.21</v>
      </c>
      <c r="M531" s="231">
        <f t="shared" si="182"/>
        <v>-21.35</v>
      </c>
      <c r="N531" s="210">
        <f t="shared" si="182"/>
        <v>0</v>
      </c>
      <c r="O531" s="229">
        <f t="shared" si="182"/>
        <v>7059.86</v>
      </c>
      <c r="P531" s="79">
        <f t="shared" si="182"/>
        <v>0</v>
      </c>
      <c r="Q531" s="78">
        <f t="shared" si="182"/>
        <v>7059.86</v>
      </c>
      <c r="R531" s="353">
        <f t="shared" si="182"/>
        <v>1586.13</v>
      </c>
      <c r="S531" s="338">
        <f t="shared" si="181"/>
        <v>22.466876113690642</v>
      </c>
    </row>
    <row r="532" spans="1:19" ht="12.75">
      <c r="A532" s="12" t="s">
        <v>134</v>
      </c>
      <c r="B532" s="60"/>
      <c r="C532" s="79">
        <v>200</v>
      </c>
      <c r="D532" s="186">
        <f>200</f>
        <v>200</v>
      </c>
      <c r="E532" s="157"/>
      <c r="F532" s="78">
        <f t="shared" si="171"/>
        <v>400</v>
      </c>
      <c r="G532" s="142">
        <f>1120</f>
        <v>1120</v>
      </c>
      <c r="H532" s="210"/>
      <c r="I532" s="124">
        <f>F532+G532+H532</f>
        <v>1520</v>
      </c>
      <c r="J532" s="142">
        <f>-70</f>
        <v>-70</v>
      </c>
      <c r="K532" s="231"/>
      <c r="L532" s="279">
        <f>I532+J532+K532</f>
        <v>1450</v>
      </c>
      <c r="M532" s="225"/>
      <c r="N532" s="186"/>
      <c r="O532" s="293">
        <f>L532+M532+N532</f>
        <v>1450</v>
      </c>
      <c r="P532" s="323"/>
      <c r="Q532" s="329">
        <f t="shared" si="176"/>
        <v>1450</v>
      </c>
      <c r="R532" s="345">
        <v>322.7</v>
      </c>
      <c r="S532" s="338">
        <f t="shared" si="181"/>
        <v>22.255172413793105</v>
      </c>
    </row>
    <row r="533" spans="1:19" ht="12.75">
      <c r="A533" s="12" t="s">
        <v>135</v>
      </c>
      <c r="B533" s="60"/>
      <c r="C533" s="79">
        <v>1400</v>
      </c>
      <c r="D533" s="186"/>
      <c r="E533" s="157"/>
      <c r="F533" s="78">
        <f t="shared" si="171"/>
        <v>1400</v>
      </c>
      <c r="G533" s="142">
        <f>-1120</f>
        <v>-1120</v>
      </c>
      <c r="H533" s="210"/>
      <c r="I533" s="124">
        <f>F533+G533+H533</f>
        <v>280</v>
      </c>
      <c r="J533" s="142">
        <f>70</f>
        <v>70</v>
      </c>
      <c r="K533" s="231"/>
      <c r="L533" s="279">
        <f>I533+J533+K533</f>
        <v>350</v>
      </c>
      <c r="M533" s="225"/>
      <c r="N533" s="186"/>
      <c r="O533" s="293">
        <f>L533+M533+N533</f>
        <v>350</v>
      </c>
      <c r="P533" s="323"/>
      <c r="Q533" s="329">
        <f t="shared" si="176"/>
        <v>350</v>
      </c>
      <c r="R533" s="345">
        <v>165.7</v>
      </c>
      <c r="S533" s="338">
        <f t="shared" si="181"/>
        <v>47.34285714285714</v>
      </c>
    </row>
    <row r="534" spans="1:19" ht="12.75">
      <c r="A534" s="12" t="s">
        <v>136</v>
      </c>
      <c r="B534" s="60"/>
      <c r="C534" s="79">
        <v>1400</v>
      </c>
      <c r="D534" s="186">
        <f>3299.24</f>
        <v>3299.24</v>
      </c>
      <c r="E534" s="157"/>
      <c r="F534" s="78">
        <f t="shared" si="171"/>
        <v>4699.24</v>
      </c>
      <c r="G534" s="142">
        <f>100</f>
        <v>100</v>
      </c>
      <c r="H534" s="210"/>
      <c r="I534" s="124">
        <f>F534+G534+H534</f>
        <v>4799.24</v>
      </c>
      <c r="J534" s="142"/>
      <c r="K534" s="231"/>
      <c r="L534" s="279">
        <f>I534+J534+K534</f>
        <v>4799.24</v>
      </c>
      <c r="M534" s="225">
        <f>-21.35</f>
        <v>-21.35</v>
      </c>
      <c r="N534" s="186"/>
      <c r="O534" s="293">
        <f>L534+M534+N534</f>
        <v>4777.889999999999</v>
      </c>
      <c r="P534" s="323"/>
      <c r="Q534" s="329">
        <f t="shared" si="176"/>
        <v>4777.889999999999</v>
      </c>
      <c r="R534" s="345">
        <v>1097.73</v>
      </c>
      <c r="S534" s="338">
        <f t="shared" si="181"/>
        <v>22.97520453589346</v>
      </c>
    </row>
    <row r="535" spans="1:19" ht="12.75">
      <c r="A535" s="12" t="s">
        <v>137</v>
      </c>
      <c r="B535" s="60"/>
      <c r="C535" s="79">
        <v>0</v>
      </c>
      <c r="D535" s="186">
        <f>481.97</f>
        <v>481.97</v>
      </c>
      <c r="E535" s="157"/>
      <c r="F535" s="78">
        <f t="shared" si="171"/>
        <v>481.97</v>
      </c>
      <c r="G535" s="142"/>
      <c r="H535" s="210"/>
      <c r="I535" s="124">
        <f>F535+G535+H535</f>
        <v>481.97</v>
      </c>
      <c r="J535" s="142"/>
      <c r="K535" s="231"/>
      <c r="L535" s="279">
        <f>I535+J535+K535</f>
        <v>481.97</v>
      </c>
      <c r="M535" s="225"/>
      <c r="N535" s="186"/>
      <c r="O535" s="293">
        <f>L535+M535+N535</f>
        <v>481.97</v>
      </c>
      <c r="P535" s="323"/>
      <c r="Q535" s="329">
        <f t="shared" si="176"/>
        <v>481.97</v>
      </c>
      <c r="R535" s="345"/>
      <c r="S535" s="361" t="s">
        <v>400</v>
      </c>
    </row>
    <row r="536" spans="1:19" ht="12.75">
      <c r="A536" s="12" t="s">
        <v>146</v>
      </c>
      <c r="B536" s="60"/>
      <c r="C536" s="79">
        <f aca="true" t="shared" si="183" ref="C536:R536">SUM(C537:C541)</f>
        <v>60000</v>
      </c>
      <c r="D536" s="186">
        <f t="shared" si="183"/>
        <v>51592.119999999995</v>
      </c>
      <c r="E536" s="157">
        <f t="shared" si="183"/>
        <v>0</v>
      </c>
      <c r="F536" s="78">
        <f t="shared" si="183"/>
        <v>111592.12000000001</v>
      </c>
      <c r="G536" s="79">
        <f t="shared" si="183"/>
        <v>548.0000000000005</v>
      </c>
      <c r="H536" s="186">
        <f t="shared" si="183"/>
        <v>0</v>
      </c>
      <c r="I536" s="124">
        <f t="shared" si="183"/>
        <v>112140.12000000001</v>
      </c>
      <c r="J536" s="142">
        <f t="shared" si="183"/>
        <v>-38400</v>
      </c>
      <c r="K536" s="231">
        <f t="shared" si="183"/>
        <v>120</v>
      </c>
      <c r="L536" s="279">
        <f t="shared" si="183"/>
        <v>73860.12000000001</v>
      </c>
      <c r="M536" s="231">
        <f t="shared" si="183"/>
        <v>0</v>
      </c>
      <c r="N536" s="210">
        <f t="shared" si="183"/>
        <v>0</v>
      </c>
      <c r="O536" s="229">
        <f t="shared" si="183"/>
        <v>73860.12000000001</v>
      </c>
      <c r="P536" s="79">
        <f t="shared" si="183"/>
        <v>0</v>
      </c>
      <c r="Q536" s="78">
        <f t="shared" si="183"/>
        <v>73860.12000000001</v>
      </c>
      <c r="R536" s="353">
        <f t="shared" si="183"/>
        <v>33475.95</v>
      </c>
      <c r="S536" s="338">
        <f t="shared" si="181"/>
        <v>45.32344382868589</v>
      </c>
    </row>
    <row r="537" spans="1:19" ht="12.75">
      <c r="A537" s="12" t="s">
        <v>134</v>
      </c>
      <c r="B537" s="60"/>
      <c r="C537" s="79">
        <v>2420</v>
      </c>
      <c r="D537" s="186">
        <f>2833.8+20410+200</f>
        <v>23443.8</v>
      </c>
      <c r="E537" s="157"/>
      <c r="F537" s="78">
        <f t="shared" si="171"/>
        <v>25863.8</v>
      </c>
      <c r="G537" s="179">
        <f>232.54-20410+220+264.52+548</f>
        <v>-19144.94</v>
      </c>
      <c r="H537" s="210"/>
      <c r="I537" s="124">
        <f aca="true" t="shared" si="184" ref="I537:I544">F537+G537+H537</f>
        <v>6718.860000000001</v>
      </c>
      <c r="J537" s="142">
        <f>200+250+1850</f>
        <v>2300</v>
      </c>
      <c r="K537" s="231">
        <f>120+3225</f>
        <v>3345</v>
      </c>
      <c r="L537" s="279">
        <f>I537+J537+K537</f>
        <v>12363.86</v>
      </c>
      <c r="M537" s="225"/>
      <c r="N537" s="186"/>
      <c r="O537" s="293">
        <f>L537+M537+N537</f>
        <v>12363.86</v>
      </c>
      <c r="P537" s="323"/>
      <c r="Q537" s="329">
        <f t="shared" si="176"/>
        <v>12363.86</v>
      </c>
      <c r="R537" s="345">
        <v>6533.56</v>
      </c>
      <c r="S537" s="338">
        <f t="shared" si="181"/>
        <v>52.84401473326291</v>
      </c>
    </row>
    <row r="538" spans="1:19" ht="12.75">
      <c r="A538" s="12" t="s">
        <v>135</v>
      </c>
      <c r="B538" s="60"/>
      <c r="C538" s="79">
        <v>2880</v>
      </c>
      <c r="D538" s="186"/>
      <c r="E538" s="157"/>
      <c r="F538" s="78">
        <f t="shared" si="171"/>
        <v>2880</v>
      </c>
      <c r="G538" s="142">
        <f>-40</f>
        <v>-40</v>
      </c>
      <c r="H538" s="210"/>
      <c r="I538" s="124">
        <f t="shared" si="184"/>
        <v>2840</v>
      </c>
      <c r="J538" s="142">
        <f>-250-15</f>
        <v>-265</v>
      </c>
      <c r="K538" s="231"/>
      <c r="L538" s="279">
        <f>I538+J538+K538</f>
        <v>2575</v>
      </c>
      <c r="M538" s="225"/>
      <c r="N538" s="186"/>
      <c r="O538" s="293">
        <f>L538+M538+N538</f>
        <v>2575</v>
      </c>
      <c r="P538" s="323"/>
      <c r="Q538" s="329">
        <f t="shared" si="176"/>
        <v>2575</v>
      </c>
      <c r="R538" s="345">
        <v>1320.23</v>
      </c>
      <c r="S538" s="338">
        <f t="shared" si="181"/>
        <v>51.27106796116505</v>
      </c>
    </row>
    <row r="539" spans="1:19" ht="12.75">
      <c r="A539" s="12" t="s">
        <v>147</v>
      </c>
      <c r="B539" s="60"/>
      <c r="C539" s="79">
        <v>54700</v>
      </c>
      <c r="D539" s="186">
        <f>27883.8</f>
        <v>27883.8</v>
      </c>
      <c r="E539" s="157"/>
      <c r="F539" s="78">
        <f t="shared" si="171"/>
        <v>82583.8</v>
      </c>
      <c r="G539" s="142">
        <f>-232.54+20410-220+40</f>
        <v>19997.46</v>
      </c>
      <c r="H539" s="210"/>
      <c r="I539" s="124">
        <f t="shared" si="184"/>
        <v>102581.26000000001</v>
      </c>
      <c r="J539" s="142">
        <f>-200+15-41000+750</f>
        <v>-40435</v>
      </c>
      <c r="K539" s="231">
        <f>-3225</f>
        <v>-3225</v>
      </c>
      <c r="L539" s="279">
        <f>I539+J539+K539</f>
        <v>58921.26000000001</v>
      </c>
      <c r="M539" s="225"/>
      <c r="N539" s="186"/>
      <c r="O539" s="293">
        <f>L539+M539+N539</f>
        <v>58921.26000000001</v>
      </c>
      <c r="P539" s="323"/>
      <c r="Q539" s="329">
        <f t="shared" si="176"/>
        <v>58921.26000000001</v>
      </c>
      <c r="R539" s="345">
        <v>25622.16</v>
      </c>
      <c r="S539" s="338">
        <f t="shared" si="181"/>
        <v>43.485424446116724</v>
      </c>
    </row>
    <row r="540" spans="1:19" ht="12.75" hidden="1">
      <c r="A540" s="12" t="s">
        <v>144</v>
      </c>
      <c r="B540" s="60"/>
      <c r="C540" s="79"/>
      <c r="D540" s="186"/>
      <c r="E540" s="157"/>
      <c r="F540" s="78">
        <f t="shared" si="171"/>
        <v>0</v>
      </c>
      <c r="G540" s="142"/>
      <c r="H540" s="210"/>
      <c r="I540" s="124">
        <f t="shared" si="184"/>
        <v>0</v>
      </c>
      <c r="J540" s="142"/>
      <c r="K540" s="231"/>
      <c r="L540" s="279">
        <f>I540+J540+K540</f>
        <v>0</v>
      </c>
      <c r="M540" s="225"/>
      <c r="N540" s="186"/>
      <c r="O540" s="293">
        <f>L540+M540+N540</f>
        <v>0</v>
      </c>
      <c r="P540" s="323"/>
      <c r="Q540" s="329">
        <f t="shared" si="176"/>
        <v>0</v>
      </c>
      <c r="R540" s="345"/>
      <c r="S540" s="338" t="e">
        <f t="shared" si="181"/>
        <v>#DIV/0!</v>
      </c>
    </row>
    <row r="541" spans="1:19" ht="12.75" hidden="1">
      <c r="A541" s="12" t="s">
        <v>137</v>
      </c>
      <c r="B541" s="60"/>
      <c r="C541" s="79"/>
      <c r="D541" s="187">
        <f>464.52-200</f>
        <v>264.52</v>
      </c>
      <c r="E541" s="157"/>
      <c r="F541" s="78">
        <f t="shared" si="171"/>
        <v>264.52</v>
      </c>
      <c r="G541" s="142">
        <f>-264.52</f>
        <v>-264.52</v>
      </c>
      <c r="H541" s="210"/>
      <c r="I541" s="124">
        <f t="shared" si="184"/>
        <v>0</v>
      </c>
      <c r="J541" s="142"/>
      <c r="K541" s="231"/>
      <c r="L541" s="279">
        <f>I541+J541+K541</f>
        <v>0</v>
      </c>
      <c r="M541" s="225"/>
      <c r="N541" s="186"/>
      <c r="O541" s="293">
        <f>L541+M541+N541</f>
        <v>0</v>
      </c>
      <c r="P541" s="323"/>
      <c r="Q541" s="329">
        <f t="shared" si="176"/>
        <v>0</v>
      </c>
      <c r="R541" s="345"/>
      <c r="S541" s="338" t="e">
        <f t="shared" si="181"/>
        <v>#DIV/0!</v>
      </c>
    </row>
    <row r="542" spans="1:19" ht="12.75">
      <c r="A542" s="13" t="s">
        <v>148</v>
      </c>
      <c r="B542" s="60"/>
      <c r="C542" s="79">
        <f>C543+C544</f>
        <v>15000</v>
      </c>
      <c r="D542" s="186">
        <f aca="true" t="shared" si="185" ref="D542:R542">D543+D544</f>
        <v>0</v>
      </c>
      <c r="E542" s="119">
        <f t="shared" si="185"/>
        <v>0</v>
      </c>
      <c r="F542" s="78">
        <f t="shared" si="185"/>
        <v>15000</v>
      </c>
      <c r="G542" s="79">
        <f t="shared" si="185"/>
        <v>1546.1100000000001</v>
      </c>
      <c r="H542" s="218">
        <f t="shared" si="185"/>
        <v>0</v>
      </c>
      <c r="I542" s="124">
        <f t="shared" si="185"/>
        <v>16546.11</v>
      </c>
      <c r="J542" s="142">
        <f t="shared" si="185"/>
        <v>-7849.9</v>
      </c>
      <c r="K542" s="231">
        <f t="shared" si="185"/>
        <v>0</v>
      </c>
      <c r="L542" s="279">
        <f t="shared" si="185"/>
        <v>8696.210000000001</v>
      </c>
      <c r="M542" s="231">
        <f t="shared" si="185"/>
        <v>-400</v>
      </c>
      <c r="N542" s="210">
        <f t="shared" si="185"/>
        <v>0</v>
      </c>
      <c r="O542" s="229">
        <f t="shared" si="185"/>
        <v>8296.210000000001</v>
      </c>
      <c r="P542" s="79">
        <f>P543+P544</f>
        <v>0</v>
      </c>
      <c r="Q542" s="78">
        <f t="shared" si="185"/>
        <v>8296.210000000001</v>
      </c>
      <c r="R542" s="353">
        <f t="shared" si="185"/>
        <v>8.2</v>
      </c>
      <c r="S542" s="338">
        <f t="shared" si="181"/>
        <v>0.0988403138300501</v>
      </c>
    </row>
    <row r="543" spans="1:19" ht="12.75">
      <c r="A543" s="13" t="s">
        <v>349</v>
      </c>
      <c r="B543" s="60"/>
      <c r="C543" s="79">
        <v>15000</v>
      </c>
      <c r="D543" s="186"/>
      <c r="E543" s="157"/>
      <c r="F543" s="78">
        <f t="shared" si="171"/>
        <v>15000</v>
      </c>
      <c r="G543" s="142">
        <f>10+124+1338.2</f>
        <v>1472.2</v>
      </c>
      <c r="H543" s="210"/>
      <c r="I543" s="124">
        <f t="shared" si="184"/>
        <v>16472.2</v>
      </c>
      <c r="J543" s="142">
        <f>-7849.9</f>
        <v>-7849.9</v>
      </c>
      <c r="K543" s="231"/>
      <c r="L543" s="279">
        <f>I543+J543+K543</f>
        <v>8622.300000000001</v>
      </c>
      <c r="M543" s="225">
        <f>-400</f>
        <v>-400</v>
      </c>
      <c r="N543" s="186"/>
      <c r="O543" s="293">
        <f>L543+M543+N543</f>
        <v>8222.300000000001</v>
      </c>
      <c r="P543" s="323"/>
      <c r="Q543" s="329">
        <f t="shared" si="176"/>
        <v>8222.300000000001</v>
      </c>
      <c r="R543" s="345"/>
      <c r="S543" s="361" t="s">
        <v>400</v>
      </c>
    </row>
    <row r="544" spans="1:19" ht="13.5" thickBot="1">
      <c r="A544" s="114" t="s">
        <v>350</v>
      </c>
      <c r="B544" s="115"/>
      <c r="C544" s="116"/>
      <c r="D544" s="194"/>
      <c r="E544" s="163"/>
      <c r="F544" s="117"/>
      <c r="G544" s="139">
        <v>73.91</v>
      </c>
      <c r="H544" s="219"/>
      <c r="I544" s="140">
        <f t="shared" si="184"/>
        <v>73.91</v>
      </c>
      <c r="J544" s="139"/>
      <c r="K544" s="270"/>
      <c r="L544" s="316">
        <f>I544+J544+K544</f>
        <v>73.91</v>
      </c>
      <c r="M544" s="300"/>
      <c r="N544" s="194"/>
      <c r="O544" s="301">
        <f>L544+M544+N544</f>
        <v>73.91</v>
      </c>
      <c r="P544" s="327"/>
      <c r="Q544" s="332">
        <f t="shared" si="176"/>
        <v>73.91</v>
      </c>
      <c r="R544" s="355">
        <v>8.2</v>
      </c>
      <c r="S544" s="339">
        <f t="shared" si="181"/>
        <v>11.09457448247869</v>
      </c>
    </row>
    <row r="545" spans="1:19" ht="13.5" thickBot="1">
      <c r="A545" s="27" t="s">
        <v>149</v>
      </c>
      <c r="B545" s="64"/>
      <c r="C545" s="80">
        <v>5782.6</v>
      </c>
      <c r="D545" s="189"/>
      <c r="E545" s="158"/>
      <c r="F545" s="81">
        <f t="shared" si="171"/>
        <v>5782.6</v>
      </c>
      <c r="G545" s="144"/>
      <c r="H545" s="212">
        <f>2269.65-0.89</f>
        <v>2268.76</v>
      </c>
      <c r="I545" s="125">
        <f>SUM(F545:H545)</f>
        <v>8051.360000000001</v>
      </c>
      <c r="J545" s="144">
        <v>15.9</v>
      </c>
      <c r="K545" s="232"/>
      <c r="L545" s="280">
        <f>SUM(I545:K545)</f>
        <v>8067.26</v>
      </c>
      <c r="M545" s="272"/>
      <c r="N545" s="189"/>
      <c r="O545" s="294">
        <f>SUM(L545:N545)</f>
        <v>8067.26</v>
      </c>
      <c r="P545" s="80"/>
      <c r="Q545" s="81">
        <f>O545+P545</f>
        <v>8067.26</v>
      </c>
      <c r="R545" s="345">
        <v>7094.48</v>
      </c>
      <c r="S545" s="341">
        <f t="shared" si="181"/>
        <v>87.94163073955717</v>
      </c>
    </row>
    <row r="546" spans="1:19" ht="15.75" thickBot="1">
      <c r="A546" s="28" t="s">
        <v>150</v>
      </c>
      <c r="B546" s="67"/>
      <c r="C546" s="104">
        <f aca="true" t="shared" si="186" ref="C546:R546">C109+C128+C155+C172+C182+C201+C212+C255+C304+C328+C403+C433+C456+C463+C491+C495+C545+C470+C348</f>
        <v>3669455.5</v>
      </c>
      <c r="D546" s="198">
        <f t="shared" si="186"/>
        <v>6607108.65</v>
      </c>
      <c r="E546" s="169">
        <f t="shared" si="186"/>
        <v>0</v>
      </c>
      <c r="F546" s="101">
        <f t="shared" si="186"/>
        <v>10276564.15</v>
      </c>
      <c r="G546" s="104">
        <f t="shared" si="186"/>
        <v>1114280.5499999998</v>
      </c>
      <c r="H546" s="198">
        <f t="shared" si="186"/>
        <v>20495.8</v>
      </c>
      <c r="I546" s="101">
        <f t="shared" si="186"/>
        <v>11411340.499999996</v>
      </c>
      <c r="J546" s="265">
        <f t="shared" si="186"/>
        <v>379751.6599999999</v>
      </c>
      <c r="K546" s="258">
        <f t="shared" si="186"/>
        <v>400</v>
      </c>
      <c r="L546" s="286">
        <f t="shared" si="186"/>
        <v>11791492.159999998</v>
      </c>
      <c r="M546" s="258">
        <f t="shared" si="186"/>
        <v>170249.51</v>
      </c>
      <c r="N546" s="306">
        <f t="shared" si="186"/>
        <v>0</v>
      </c>
      <c r="O546" s="248">
        <f t="shared" si="186"/>
        <v>11961741.67</v>
      </c>
      <c r="P546" s="104">
        <f t="shared" si="186"/>
        <v>51968.66</v>
      </c>
      <c r="Q546" s="101">
        <f t="shared" si="186"/>
        <v>12017030.329999996</v>
      </c>
      <c r="R546" s="356">
        <f t="shared" si="186"/>
        <v>10198668.710000003</v>
      </c>
      <c r="S546" s="342">
        <f t="shared" si="181"/>
        <v>84.86846109175133</v>
      </c>
    </row>
    <row r="547" spans="1:19" ht="13.5" thickBot="1">
      <c r="A547" s="29" t="s">
        <v>151</v>
      </c>
      <c r="B547" s="67"/>
      <c r="C547" s="105">
        <v>-5782.6</v>
      </c>
      <c r="D547" s="199"/>
      <c r="E547" s="170"/>
      <c r="F547" s="92">
        <f>SUM(C547:E547)</f>
        <v>-5782.6</v>
      </c>
      <c r="G547" s="148"/>
      <c r="H547" s="220"/>
      <c r="I547" s="131">
        <f>SUM(F547:H547)</f>
        <v>-5782.6</v>
      </c>
      <c r="J547" s="148">
        <v>-15.9</v>
      </c>
      <c r="K547" s="236"/>
      <c r="L547" s="317">
        <f>SUM(I547:K547)</f>
        <v>-5798.5</v>
      </c>
      <c r="M547" s="275"/>
      <c r="N547" s="199"/>
      <c r="O547" s="297">
        <f>SUM(L547:N547)</f>
        <v>-5798.5</v>
      </c>
      <c r="P547" s="323"/>
      <c r="Q547" s="331">
        <f t="shared" si="176"/>
        <v>-5798.5</v>
      </c>
      <c r="R547" s="345">
        <v>-5784.54</v>
      </c>
      <c r="S547" s="341">
        <f t="shared" si="181"/>
        <v>99.75924808140036</v>
      </c>
    </row>
    <row r="548" spans="1:19" ht="16.5" thickBot="1">
      <c r="A548" s="30" t="s">
        <v>152</v>
      </c>
      <c r="B548" s="67"/>
      <c r="C548" s="106">
        <f aca="true" t="shared" si="187" ref="C548:Q548">C546+C547</f>
        <v>3663672.9</v>
      </c>
      <c r="D548" s="200">
        <f t="shared" si="187"/>
        <v>6607108.65</v>
      </c>
      <c r="E548" s="171">
        <f t="shared" si="187"/>
        <v>0</v>
      </c>
      <c r="F548" s="93">
        <f t="shared" si="187"/>
        <v>10270781.55</v>
      </c>
      <c r="G548" s="106">
        <f t="shared" si="187"/>
        <v>1114280.5499999998</v>
      </c>
      <c r="H548" s="200">
        <f t="shared" si="187"/>
        <v>20495.8</v>
      </c>
      <c r="I548" s="93">
        <f t="shared" si="187"/>
        <v>11405557.899999997</v>
      </c>
      <c r="J548" s="266">
        <f t="shared" si="187"/>
        <v>379735.7599999999</v>
      </c>
      <c r="K548" s="259">
        <f t="shared" si="187"/>
        <v>400</v>
      </c>
      <c r="L548" s="287">
        <f t="shared" si="187"/>
        <v>11785693.659999998</v>
      </c>
      <c r="M548" s="259">
        <f>M546+M547</f>
        <v>170249.51</v>
      </c>
      <c r="N548" s="307">
        <f>N546+N547</f>
        <v>0</v>
      </c>
      <c r="O548" s="249">
        <f>O546+O547</f>
        <v>11955943.17</v>
      </c>
      <c r="P548" s="106">
        <f t="shared" si="187"/>
        <v>51968.66</v>
      </c>
      <c r="Q548" s="93">
        <f t="shared" si="187"/>
        <v>12011231.829999996</v>
      </c>
      <c r="R548" s="357">
        <f>R546+R547</f>
        <v>10192884.170000004</v>
      </c>
      <c r="S548" s="342">
        <f t="shared" si="181"/>
        <v>84.86127246783819</v>
      </c>
    </row>
    <row r="549" spans="1:19" ht="15.75">
      <c r="A549" s="31" t="s">
        <v>31</v>
      </c>
      <c r="B549" s="68"/>
      <c r="C549" s="48"/>
      <c r="D549" s="201"/>
      <c r="E549" s="172"/>
      <c r="F549" s="94"/>
      <c r="G549" s="149"/>
      <c r="H549" s="221"/>
      <c r="I549" s="132"/>
      <c r="J549" s="149"/>
      <c r="K549" s="237"/>
      <c r="L549" s="288"/>
      <c r="M549" s="237"/>
      <c r="N549" s="221"/>
      <c r="O549" s="250"/>
      <c r="P549" s="323"/>
      <c r="Q549" s="329"/>
      <c r="R549" s="345"/>
      <c r="S549" s="338"/>
    </row>
    <row r="550" spans="1:19" ht="15.75">
      <c r="A550" s="32" t="s">
        <v>390</v>
      </c>
      <c r="B550" s="69"/>
      <c r="C550" s="208">
        <f aca="true" t="shared" si="188" ref="C550:R550">C110+C129+C156+C173+C183+C202+C213+C256+C305+C329+C404+C434+C457+C464+C492+C497+C545+C547+C471+C349</f>
        <v>2862333.3</v>
      </c>
      <c r="D550" s="202">
        <f t="shared" si="188"/>
        <v>5572098.089999999</v>
      </c>
      <c r="E550" s="173">
        <f t="shared" si="188"/>
        <v>12831.8</v>
      </c>
      <c r="F550" s="102">
        <f t="shared" si="188"/>
        <v>8447263.190000001</v>
      </c>
      <c r="G550" s="208">
        <f t="shared" si="188"/>
        <v>438062.12999999995</v>
      </c>
      <c r="H550" s="181">
        <f t="shared" si="188"/>
        <v>2708.03</v>
      </c>
      <c r="I550" s="102">
        <f t="shared" si="188"/>
        <v>8888033.35</v>
      </c>
      <c r="J550" s="267">
        <f t="shared" si="188"/>
        <v>291346.53</v>
      </c>
      <c r="K550" s="260">
        <f t="shared" si="188"/>
        <v>-2538.44</v>
      </c>
      <c r="L550" s="289">
        <f t="shared" si="188"/>
        <v>9176841.44</v>
      </c>
      <c r="M550" s="260">
        <f t="shared" si="188"/>
        <v>110264.13</v>
      </c>
      <c r="N550" s="308">
        <f t="shared" si="188"/>
        <v>-7300</v>
      </c>
      <c r="O550" s="251">
        <f t="shared" si="188"/>
        <v>9279805.57</v>
      </c>
      <c r="P550" s="208">
        <f t="shared" si="188"/>
        <v>4965.620000000003</v>
      </c>
      <c r="Q550" s="102">
        <f t="shared" si="188"/>
        <v>9284771.189999998</v>
      </c>
      <c r="R550" s="358">
        <f t="shared" si="188"/>
        <v>9028836.330000004</v>
      </c>
      <c r="S550" s="337">
        <f t="shared" si="181"/>
        <v>97.24349846902372</v>
      </c>
    </row>
    <row r="551" spans="1:19" ht="16.5" thickBot="1">
      <c r="A551" s="18" t="s">
        <v>391</v>
      </c>
      <c r="B551" s="70"/>
      <c r="C551" s="107">
        <f aca="true" t="shared" si="189" ref="C551:R551">C122+C151+C165+C178+C196+C207+C242+C296+C320+C341+C428+C446+C460+C498+C483+C374</f>
        <v>801339.6</v>
      </c>
      <c r="D551" s="203">
        <f t="shared" si="189"/>
        <v>1035010.56</v>
      </c>
      <c r="E551" s="180">
        <f t="shared" si="189"/>
        <v>-12831.8</v>
      </c>
      <c r="F551" s="103">
        <f t="shared" si="189"/>
        <v>1823518.3599999996</v>
      </c>
      <c r="G551" s="107">
        <f t="shared" si="189"/>
        <v>676218.4199999999</v>
      </c>
      <c r="H551" s="222">
        <f t="shared" si="189"/>
        <v>17787.77</v>
      </c>
      <c r="I551" s="103">
        <f t="shared" si="189"/>
        <v>2517524.55</v>
      </c>
      <c r="J551" s="268">
        <f t="shared" si="189"/>
        <v>88389.22999999998</v>
      </c>
      <c r="K551" s="261">
        <f t="shared" si="189"/>
        <v>2938.44</v>
      </c>
      <c r="L551" s="290">
        <f t="shared" si="189"/>
        <v>2608852.2199999997</v>
      </c>
      <c r="M551" s="261">
        <f t="shared" si="189"/>
        <v>59985.380000000005</v>
      </c>
      <c r="N551" s="309">
        <f t="shared" si="189"/>
        <v>7300</v>
      </c>
      <c r="O551" s="252">
        <f t="shared" si="189"/>
        <v>2676137.6</v>
      </c>
      <c r="P551" s="107">
        <f t="shared" si="189"/>
        <v>47003.04</v>
      </c>
      <c r="Q551" s="103">
        <f t="shared" si="189"/>
        <v>2726460.6399999997</v>
      </c>
      <c r="R551" s="359">
        <f t="shared" si="189"/>
        <v>1164047.84</v>
      </c>
      <c r="S551" s="343">
        <f t="shared" si="181"/>
        <v>42.694467065550604</v>
      </c>
    </row>
    <row r="552" spans="1:19" ht="16.5" thickBot="1">
      <c r="A552" s="32" t="s">
        <v>330</v>
      </c>
      <c r="B552" s="69"/>
      <c r="C552" s="104">
        <f aca="true" t="shared" si="190" ref="C552:R552">C107-C548</f>
        <v>-18144.600000000093</v>
      </c>
      <c r="D552" s="198">
        <f t="shared" si="190"/>
        <v>-1310377.2700000005</v>
      </c>
      <c r="E552" s="121">
        <f t="shared" si="190"/>
        <v>0</v>
      </c>
      <c r="F552" s="101">
        <f t="shared" si="190"/>
        <v>-1328521.8699999992</v>
      </c>
      <c r="G552" s="104">
        <f t="shared" si="190"/>
        <v>-60155.029999999795</v>
      </c>
      <c r="H552" s="198">
        <f t="shared" si="190"/>
        <v>-10252.63</v>
      </c>
      <c r="I552" s="101">
        <f t="shared" si="190"/>
        <v>-1398929.5299999975</v>
      </c>
      <c r="J552" s="265">
        <f t="shared" si="190"/>
        <v>0</v>
      </c>
      <c r="K552" s="258">
        <f t="shared" si="190"/>
        <v>0</v>
      </c>
      <c r="L552" s="286">
        <f t="shared" si="190"/>
        <v>-1398929.5299999993</v>
      </c>
      <c r="M552" s="258">
        <f t="shared" si="190"/>
        <v>0</v>
      </c>
      <c r="N552" s="306">
        <f t="shared" si="190"/>
        <v>0</v>
      </c>
      <c r="O552" s="248">
        <f t="shared" si="190"/>
        <v>-1398929.5300000012</v>
      </c>
      <c r="P552" s="104">
        <f t="shared" si="190"/>
        <v>0</v>
      </c>
      <c r="Q552" s="101">
        <f t="shared" si="190"/>
        <v>-1398929.5299999956</v>
      </c>
      <c r="R552" s="356">
        <f t="shared" si="190"/>
        <v>818533.3399999961</v>
      </c>
      <c r="S552" s="342">
        <f t="shared" si="181"/>
        <v>-58.511406217867076</v>
      </c>
    </row>
    <row r="553" spans="1:19" ht="15.75">
      <c r="A553" s="31" t="s">
        <v>383</v>
      </c>
      <c r="B553" s="68"/>
      <c r="C553" s="108">
        <f aca="true" t="shared" si="191" ref="C553:L553">SUM(C555:C560)</f>
        <v>18144.599999999977</v>
      </c>
      <c r="D553" s="204">
        <f t="shared" si="191"/>
        <v>1310377.27</v>
      </c>
      <c r="E553" s="174">
        <f t="shared" si="191"/>
        <v>0</v>
      </c>
      <c r="F553" s="95">
        <f t="shared" si="191"/>
        <v>1328521.87</v>
      </c>
      <c r="G553" s="108">
        <f t="shared" si="191"/>
        <v>60155.03</v>
      </c>
      <c r="H553" s="204">
        <f t="shared" si="191"/>
        <v>10252.630000000001</v>
      </c>
      <c r="I553" s="95">
        <f t="shared" si="191"/>
        <v>1398929.53</v>
      </c>
      <c r="J553" s="269">
        <f t="shared" si="191"/>
        <v>0</v>
      </c>
      <c r="K553" s="238">
        <f t="shared" si="191"/>
        <v>0</v>
      </c>
      <c r="L553" s="291">
        <f t="shared" si="191"/>
        <v>1398929.53</v>
      </c>
      <c r="M553" s="238">
        <f aca="true" t="shared" si="192" ref="M553:R553">SUM(M555:M560)</f>
        <v>0</v>
      </c>
      <c r="N553" s="310">
        <f t="shared" si="192"/>
        <v>0</v>
      </c>
      <c r="O553" s="253">
        <f t="shared" si="192"/>
        <v>1398929.53</v>
      </c>
      <c r="P553" s="108">
        <f t="shared" si="192"/>
        <v>0</v>
      </c>
      <c r="Q553" s="95">
        <f t="shared" si="192"/>
        <v>1398929.53</v>
      </c>
      <c r="R553" s="360">
        <f t="shared" si="192"/>
        <v>-818533.3400000001</v>
      </c>
      <c r="S553" s="337">
        <f t="shared" si="181"/>
        <v>-58.511406217867176</v>
      </c>
    </row>
    <row r="554" spans="1:19" ht="12.75" customHeight="1">
      <c r="A554" s="33" t="s">
        <v>31</v>
      </c>
      <c r="B554" s="71"/>
      <c r="C554" s="109"/>
      <c r="D554" s="205"/>
      <c r="E554" s="175"/>
      <c r="F554" s="96"/>
      <c r="G554" s="150"/>
      <c r="H554" s="223"/>
      <c r="I554" s="133"/>
      <c r="J554" s="150"/>
      <c r="K554" s="239"/>
      <c r="L554" s="318"/>
      <c r="M554" s="276"/>
      <c r="N554" s="205"/>
      <c r="O554" s="298"/>
      <c r="P554" s="323"/>
      <c r="Q554" s="329"/>
      <c r="R554" s="345"/>
      <c r="S554" s="338"/>
    </row>
    <row r="555" spans="1:19" ht="14.25">
      <c r="A555" s="33" t="s">
        <v>153</v>
      </c>
      <c r="B555" s="71"/>
      <c r="C555" s="98">
        <v>280644.6</v>
      </c>
      <c r="D555" s="206"/>
      <c r="E555" s="176"/>
      <c r="F555" s="96">
        <f aca="true" t="shared" si="193" ref="F555:F560">SUM(C555:E555)</f>
        <v>280644.6</v>
      </c>
      <c r="G555" s="151"/>
      <c r="H555" s="224"/>
      <c r="I555" s="133">
        <f aca="true" t="shared" si="194" ref="I555:I560">SUM(F555:H555)</f>
        <v>280644.6</v>
      </c>
      <c r="J555" s="151"/>
      <c r="K555" s="240"/>
      <c r="L555" s="318">
        <f aca="true" t="shared" si="195" ref="L555:L560">SUM(I555:K555)</f>
        <v>280644.6</v>
      </c>
      <c r="M555" s="277"/>
      <c r="N555" s="206"/>
      <c r="O555" s="298">
        <f aca="true" t="shared" si="196" ref="O555:O560">SUM(L555:N555)</f>
        <v>280644.6</v>
      </c>
      <c r="P555" s="323"/>
      <c r="Q555" s="329">
        <f t="shared" si="176"/>
        <v>280644.6</v>
      </c>
      <c r="R555" s="345">
        <v>60.22</v>
      </c>
      <c r="S555" s="338">
        <f t="shared" si="181"/>
        <v>0.02145774406491342</v>
      </c>
    </row>
    <row r="556" spans="1:19" ht="14.25">
      <c r="A556" s="34" t="s">
        <v>162</v>
      </c>
      <c r="B556" s="71"/>
      <c r="C556" s="98">
        <v>-262500</v>
      </c>
      <c r="D556" s="206"/>
      <c r="E556" s="176"/>
      <c r="F556" s="96">
        <f t="shared" si="193"/>
        <v>-262500</v>
      </c>
      <c r="G556" s="151"/>
      <c r="H556" s="224"/>
      <c r="I556" s="133">
        <f t="shared" si="194"/>
        <v>-262500</v>
      </c>
      <c r="J556" s="151"/>
      <c r="K556" s="240"/>
      <c r="L556" s="318">
        <f t="shared" si="195"/>
        <v>-262500</v>
      </c>
      <c r="M556" s="277"/>
      <c r="N556" s="206"/>
      <c r="O556" s="298">
        <f t="shared" si="196"/>
        <v>-262500</v>
      </c>
      <c r="P556" s="323"/>
      <c r="Q556" s="329">
        <f t="shared" si="176"/>
        <v>-262500</v>
      </c>
      <c r="R556" s="345">
        <v>-192549.84</v>
      </c>
      <c r="S556" s="338">
        <f t="shared" si="181"/>
        <v>73.35232</v>
      </c>
    </row>
    <row r="557" spans="1:19" ht="14.25" hidden="1">
      <c r="A557" s="34" t="s">
        <v>154</v>
      </c>
      <c r="B557" s="72"/>
      <c r="C557" s="98"/>
      <c r="D557" s="207"/>
      <c r="E557" s="176"/>
      <c r="F557" s="96">
        <f t="shared" si="193"/>
        <v>0</v>
      </c>
      <c r="G557" s="151"/>
      <c r="H557" s="224"/>
      <c r="I557" s="133">
        <f t="shared" si="194"/>
        <v>0</v>
      </c>
      <c r="J557" s="151"/>
      <c r="K557" s="240"/>
      <c r="L557" s="318">
        <f t="shared" si="195"/>
        <v>0</v>
      </c>
      <c r="M557" s="277"/>
      <c r="N557" s="206"/>
      <c r="O557" s="298">
        <f t="shared" si="196"/>
        <v>0</v>
      </c>
      <c r="P557" s="323"/>
      <c r="Q557" s="329">
        <f t="shared" si="176"/>
        <v>0</v>
      </c>
      <c r="R557" s="345"/>
      <c r="S557" s="338" t="e">
        <f t="shared" si="181"/>
        <v>#DIV/0!</v>
      </c>
    </row>
    <row r="558" spans="1:19" ht="14.25" hidden="1">
      <c r="A558" s="33" t="s">
        <v>155</v>
      </c>
      <c r="B558" s="72"/>
      <c r="C558" s="98"/>
      <c r="D558" s="206"/>
      <c r="E558" s="176"/>
      <c r="F558" s="96">
        <f t="shared" si="193"/>
        <v>0</v>
      </c>
      <c r="G558" s="151"/>
      <c r="H558" s="224"/>
      <c r="I558" s="133">
        <f t="shared" si="194"/>
        <v>0</v>
      </c>
      <c r="J558" s="151"/>
      <c r="K558" s="240"/>
      <c r="L558" s="318">
        <f t="shared" si="195"/>
        <v>0</v>
      </c>
      <c r="M558" s="277"/>
      <c r="N558" s="206"/>
      <c r="O558" s="298">
        <f t="shared" si="196"/>
        <v>0</v>
      </c>
      <c r="P558" s="323"/>
      <c r="Q558" s="329">
        <f t="shared" si="176"/>
        <v>0</v>
      </c>
      <c r="R558" s="345"/>
      <c r="S558" s="338" t="e">
        <f t="shared" si="181"/>
        <v>#DIV/0!</v>
      </c>
    </row>
    <row r="559" spans="1:19" ht="14.25">
      <c r="A559" s="34" t="s">
        <v>156</v>
      </c>
      <c r="B559" s="72"/>
      <c r="C559" s="98"/>
      <c r="D559" s="206">
        <f>433921.36+130+14988+15593+106867.73+38353.2+31182.12+3981.21+1848.19+12670+550+900+6959.4+1300+2192.75+2970+1840+2.12+778.13+10.65+372.74+500+18.54+148837.08+5048.87+1500+286807.3+4027.7+101229.08+44120.38+74.36+2146.32+627.12+716.53+221.86+9770.17+443.42+418+259.69+351+52.2+99+130+94+7275.29+100+158.75+4719+143.32+859.03+646.48+95.3+11476.88</f>
        <v>1310377.27</v>
      </c>
      <c r="E559" s="176"/>
      <c r="F559" s="96">
        <f t="shared" si="193"/>
        <v>1310377.27</v>
      </c>
      <c r="G559" s="151">
        <f>255.21+752.8+418.35+933.93+304.24+2338.2+55081-47.58+73.91+44.97</f>
        <v>60155.03</v>
      </c>
      <c r="H559" s="224">
        <v>7983.87</v>
      </c>
      <c r="I559" s="133">
        <f t="shared" si="194"/>
        <v>1378516.1700000002</v>
      </c>
      <c r="J559" s="151"/>
      <c r="K559" s="240"/>
      <c r="L559" s="318">
        <f t="shared" si="195"/>
        <v>1378516.1700000002</v>
      </c>
      <c r="M559" s="277"/>
      <c r="N559" s="206"/>
      <c r="O559" s="298">
        <f t="shared" si="196"/>
        <v>1378516.1700000002</v>
      </c>
      <c r="P559" s="323"/>
      <c r="Q559" s="329">
        <f t="shared" si="176"/>
        <v>1378516.1700000002</v>
      </c>
      <c r="R559" s="345">
        <v>-627353.66</v>
      </c>
      <c r="S559" s="361" t="s">
        <v>400</v>
      </c>
    </row>
    <row r="560" spans="1:19" ht="16.5" thickBot="1">
      <c r="A560" s="43" t="s">
        <v>194</v>
      </c>
      <c r="B560" s="73"/>
      <c r="C560" s="82"/>
      <c r="D560" s="99" t="s">
        <v>281</v>
      </c>
      <c r="E560" s="177"/>
      <c r="F560" s="97">
        <f t="shared" si="193"/>
        <v>0</v>
      </c>
      <c r="G560" s="152"/>
      <c r="H560" s="134">
        <f>2269.65-0.89</f>
        <v>2268.76</v>
      </c>
      <c r="I560" s="135">
        <f t="shared" si="194"/>
        <v>2268.76</v>
      </c>
      <c r="J560" s="152"/>
      <c r="K560" s="134"/>
      <c r="L560" s="319">
        <f t="shared" si="195"/>
        <v>2268.76</v>
      </c>
      <c r="M560" s="99"/>
      <c r="N560" s="311"/>
      <c r="O560" s="299">
        <f t="shared" si="196"/>
        <v>2268.76</v>
      </c>
      <c r="P560" s="327"/>
      <c r="Q560" s="332">
        <f t="shared" si="176"/>
        <v>2268.76</v>
      </c>
      <c r="R560" s="355">
        <v>1309.94</v>
      </c>
      <c r="S560" s="339">
        <f t="shared" si="181"/>
        <v>57.738147710643695</v>
      </c>
    </row>
    <row r="561" spans="2:18" ht="12.75" hidden="1">
      <c r="B561" s="74"/>
      <c r="C561" s="100">
        <f aca="true" t="shared" si="197" ref="C561:R561">C107+C553-C548</f>
        <v>0</v>
      </c>
      <c r="D561" s="100">
        <f t="shared" si="197"/>
        <v>0</v>
      </c>
      <c r="E561" s="100">
        <f t="shared" si="197"/>
        <v>0</v>
      </c>
      <c r="F561" s="100">
        <f t="shared" si="197"/>
        <v>0</v>
      </c>
      <c r="G561" s="120">
        <f t="shared" si="197"/>
        <v>0</v>
      </c>
      <c r="H561" s="120">
        <f t="shared" si="197"/>
        <v>0</v>
      </c>
      <c r="I561" s="120">
        <f t="shared" si="197"/>
        <v>0</v>
      </c>
      <c r="J561" s="120">
        <f t="shared" si="197"/>
        <v>0</v>
      </c>
      <c r="K561" s="120">
        <f t="shared" si="197"/>
        <v>0</v>
      </c>
      <c r="L561" s="120">
        <f t="shared" si="197"/>
        <v>0</v>
      </c>
      <c r="M561" s="100">
        <f t="shared" si="197"/>
        <v>0</v>
      </c>
      <c r="N561" s="100">
        <f t="shared" si="197"/>
        <v>0</v>
      </c>
      <c r="O561" s="100">
        <f t="shared" si="197"/>
        <v>0</v>
      </c>
      <c r="P561" s="120">
        <f t="shared" si="197"/>
        <v>0</v>
      </c>
      <c r="Q561" s="120">
        <f t="shared" si="197"/>
        <v>0</v>
      </c>
      <c r="R561" s="120">
        <f t="shared" si="197"/>
        <v>0</v>
      </c>
    </row>
    <row r="562" spans="2:16" ht="12.75">
      <c r="B562" s="74"/>
      <c r="G562" s="120"/>
      <c r="H562" s="120"/>
      <c r="I562" s="120"/>
      <c r="J562" s="120"/>
      <c r="K562" s="120"/>
      <c r="P562" s="42"/>
    </row>
    <row r="563" spans="2:16" ht="12.75">
      <c r="B563" s="74"/>
      <c r="G563" s="120"/>
      <c r="H563" s="120"/>
      <c r="I563" s="120"/>
      <c r="P563" s="42"/>
    </row>
    <row r="564" spans="2:16" ht="12.75">
      <c r="B564" s="74"/>
      <c r="G564" s="120"/>
      <c r="H564" s="120"/>
      <c r="I564" s="120"/>
      <c r="P564" s="42"/>
    </row>
    <row r="565" spans="2:16" ht="12.75">
      <c r="B565" s="74"/>
      <c r="G565" s="120"/>
      <c r="H565" s="120"/>
      <c r="I565" s="120"/>
      <c r="P565" s="42"/>
    </row>
    <row r="566" spans="2:16" ht="12.75">
      <c r="B566" s="74"/>
      <c r="G566" s="120"/>
      <c r="H566" s="120"/>
      <c r="I566" s="120"/>
      <c r="P566" s="42"/>
    </row>
    <row r="567" spans="2:16" ht="12.75">
      <c r="B567" s="74"/>
      <c r="G567" s="120"/>
      <c r="H567" s="120"/>
      <c r="I567" s="120"/>
      <c r="P567" s="42"/>
    </row>
    <row r="568" spans="2:16" ht="12.75">
      <c r="B568" s="74"/>
      <c r="P568" s="42"/>
    </row>
    <row r="569" spans="2:16" ht="12.75">
      <c r="B569" s="74"/>
      <c r="P569" s="42"/>
    </row>
    <row r="570" spans="2:16" ht="12.75">
      <c r="B570" s="74"/>
      <c r="P570" s="42"/>
    </row>
    <row r="571" spans="2:16" ht="12.75">
      <c r="B571" s="74"/>
      <c r="P571" s="42"/>
    </row>
    <row r="572" spans="2:16" ht="12.75">
      <c r="B572" s="74"/>
      <c r="P572" s="42"/>
    </row>
    <row r="573" spans="2:19" ht="12.75">
      <c r="B573" s="74"/>
      <c r="P573" s="42"/>
      <c r="S573" s="369"/>
    </row>
    <row r="574" spans="2:16" ht="12.75">
      <c r="B574" s="74"/>
      <c r="P574" s="42"/>
    </row>
    <row r="575" spans="2:16" ht="12.75">
      <c r="B575" s="74"/>
      <c r="P575" s="42"/>
    </row>
    <row r="576" spans="2:16" ht="12.75">
      <c r="B576" s="74"/>
      <c r="P576" s="42"/>
    </row>
    <row r="577" spans="2:16" ht="12.75">
      <c r="B577" s="74"/>
      <c r="P577" s="42"/>
    </row>
    <row r="578" spans="2:16" ht="12.75">
      <c r="B578" s="74"/>
      <c r="P578" s="42"/>
    </row>
    <row r="579" spans="2:16" ht="12.75">
      <c r="B579" s="74"/>
      <c r="P579" s="42"/>
    </row>
    <row r="580" spans="2:16" ht="12.75">
      <c r="B580" s="74"/>
      <c r="P580" s="42"/>
    </row>
    <row r="581" ht="12.75">
      <c r="P581" s="42"/>
    </row>
    <row r="582" ht="12.75">
      <c r="P582" s="42"/>
    </row>
    <row r="583" ht="12.75">
      <c r="P583" s="42"/>
    </row>
    <row r="584" ht="12.75">
      <c r="P584" s="42"/>
    </row>
    <row r="585" ht="12.75">
      <c r="P585" s="42"/>
    </row>
    <row r="586" ht="12.75">
      <c r="P586" s="42"/>
    </row>
    <row r="587" ht="12.75">
      <c r="P587" s="42"/>
    </row>
    <row r="588" ht="12.75">
      <c r="P588" s="42"/>
    </row>
    <row r="589" ht="12.75">
      <c r="P589" s="42"/>
    </row>
    <row r="590" ht="12.75">
      <c r="P590" s="42"/>
    </row>
    <row r="591" ht="12.75">
      <c r="P591" s="42"/>
    </row>
    <row r="592" ht="12.75">
      <c r="P592" s="42"/>
    </row>
    <row r="593" ht="12.75">
      <c r="P593" s="42"/>
    </row>
  </sheetData>
  <sheetProtection/>
  <mergeCells count="6">
    <mergeCell ref="R1:S1"/>
    <mergeCell ref="A2:S2"/>
    <mergeCell ref="A3:S3"/>
    <mergeCell ref="A4:S4"/>
    <mergeCell ref="A6:A7"/>
    <mergeCell ref="S6:S7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77" r:id="rId1"/>
  <headerFooter alignWithMargins="0">
    <oddFooter>&amp;CStránka &amp;P&amp;RTab.č.1 Čerpání rozpočtu KHK k 31.12.2016</oddFooter>
  </headerFooter>
  <rowBreaks count="5" manualBreakCount="5">
    <brk id="78" max="18" man="1"/>
    <brk id="180" max="18" man="1"/>
    <brk id="303" max="18" man="1"/>
    <brk id="389" max="18" man="1"/>
    <brk id="49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2017-02-09T08:48:54Z</cp:lastPrinted>
  <dcterms:created xsi:type="dcterms:W3CDTF">2009-01-05T12:05:07Z</dcterms:created>
  <dcterms:modified xsi:type="dcterms:W3CDTF">2017-05-03T10:37:25Z</dcterms:modified>
  <cp:category/>
  <cp:version/>
  <cp:contentType/>
  <cp:contentStatus/>
</cp:coreProperties>
</file>